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hn-\OneDrive\Desktop\"/>
    </mc:Choice>
  </mc:AlternateContent>
  <xr:revisionPtr revIDLastSave="0" documentId="13_ncr:1_{286FFD19-03DC-46C5-B760-118CD03DC4DA}" xr6:coauthVersionLast="47" xr6:coauthVersionMax="47" xr10:uidLastSave="{00000000-0000-0000-0000-000000000000}"/>
  <bookViews>
    <workbookView xWindow="-108" yWindow="-108" windowWidth="23256" windowHeight="12456" xr2:uid="{11C2BED7-DC64-4691-8ACB-1B20673BD5F4}"/>
  </bookViews>
  <sheets>
    <sheet name="Budget to Cash" sheetId="3" r:id="rId1"/>
    <sheet name="Seasonality" sheetId="4" r:id="rId2"/>
    <sheet name="Charting" sheetId="1" r:id="rId3"/>
    <sheet name="Treasury" sheetId="2" r:id="rId4"/>
  </sheets>
  <definedNames>
    <definedName name="_xlchart.v5.0" hidden="1">Charting!$B$18</definedName>
    <definedName name="_xlchart.v5.1" hidden="1">Charting!$C$17:$P$17</definedName>
    <definedName name="_xlchart.v5.2" hidden="1">Charting!$C$18:$P$18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C18" i="1"/>
  <c r="E9" i="1"/>
  <c r="E13" i="1" s="1"/>
  <c r="F9" i="1"/>
  <c r="F13" i="1" s="1"/>
  <c r="G9" i="1"/>
  <c r="G13" i="1" s="1"/>
  <c r="H9" i="1"/>
  <c r="H13" i="1" s="1"/>
  <c r="I9" i="1"/>
  <c r="I13" i="1" s="1"/>
  <c r="J9" i="1"/>
  <c r="J13" i="1" s="1"/>
  <c r="K9" i="1"/>
  <c r="K13" i="1" s="1"/>
  <c r="L9" i="1"/>
  <c r="L13" i="1" s="1"/>
  <c r="M9" i="1"/>
  <c r="M13" i="1" s="1"/>
  <c r="N9" i="1"/>
  <c r="N13" i="1" s="1"/>
  <c r="O9" i="1"/>
  <c r="O13" i="1" s="1"/>
  <c r="D9" i="1"/>
  <c r="D13" i="1" s="1"/>
  <c r="G29" i="3"/>
  <c r="J30" i="3" s="1"/>
  <c r="H29" i="3"/>
  <c r="K30" i="3" s="1"/>
  <c r="F29" i="3"/>
  <c r="F30" i="3" s="1"/>
  <c r="S33" i="3"/>
  <c r="S34" i="3"/>
  <c r="S36" i="3"/>
  <c r="F32" i="3"/>
  <c r="G17" i="3"/>
  <c r="H17" i="3" s="1"/>
  <c r="I17" i="3" s="1"/>
  <c r="J17" i="3" s="1"/>
  <c r="K17" i="3" s="1"/>
  <c r="L17" i="3" s="1"/>
  <c r="M17" i="3" s="1"/>
  <c r="M32" i="3" s="1"/>
  <c r="K10" i="3"/>
  <c r="Q10" i="3" s="1"/>
  <c r="G18" i="3"/>
  <c r="H18" i="3"/>
  <c r="I18" i="3"/>
  <c r="J18" i="3"/>
  <c r="K18" i="3"/>
  <c r="L18" i="3"/>
  <c r="M18" i="3"/>
  <c r="N18" i="3"/>
  <c r="O18" i="3"/>
  <c r="P18" i="3"/>
  <c r="Q18" i="3"/>
  <c r="F18" i="3"/>
  <c r="G16" i="3"/>
  <c r="H16" i="3"/>
  <c r="I16" i="3"/>
  <c r="J16" i="3"/>
  <c r="K16" i="3"/>
  <c r="L16" i="3"/>
  <c r="M16" i="3"/>
  <c r="N16" i="3"/>
  <c r="O16" i="3"/>
  <c r="P16" i="3"/>
  <c r="Q16" i="3"/>
  <c r="F16" i="3"/>
  <c r="G15" i="3"/>
  <c r="H15" i="3"/>
  <c r="I15" i="3"/>
  <c r="J15" i="3"/>
  <c r="K15" i="3"/>
  <c r="L15" i="3"/>
  <c r="M15" i="3"/>
  <c r="N15" i="3"/>
  <c r="O15" i="3"/>
  <c r="P15" i="3"/>
  <c r="Q15" i="3"/>
  <c r="F15" i="3"/>
  <c r="G14" i="3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I9" i="3"/>
  <c r="I29" i="3" s="1"/>
  <c r="L30" i="3" s="1"/>
  <c r="J9" i="3"/>
  <c r="J29" i="3" s="1"/>
  <c r="M30" i="3" s="1"/>
  <c r="K9" i="3"/>
  <c r="K29" i="3" s="1"/>
  <c r="N30" i="3" s="1"/>
  <c r="L9" i="3"/>
  <c r="L29" i="3" s="1"/>
  <c r="O30" i="3" s="1"/>
  <c r="M9" i="3"/>
  <c r="M29" i="3" s="1"/>
  <c r="P30" i="3" s="1"/>
  <c r="N9" i="3"/>
  <c r="N29" i="3" s="1"/>
  <c r="Q30" i="3" s="1"/>
  <c r="O9" i="3"/>
  <c r="O29" i="3" s="1"/>
  <c r="P9" i="3"/>
  <c r="P29" i="3" s="1"/>
  <c r="Q9" i="3"/>
  <c r="Q29" i="3" s="1"/>
  <c r="J8" i="3"/>
  <c r="S8" i="3" s="1"/>
  <c r="G7" i="3"/>
  <c r="H7" i="3"/>
  <c r="I7" i="3"/>
  <c r="J7" i="3"/>
  <c r="K7" i="3"/>
  <c r="L7" i="3"/>
  <c r="M7" i="3"/>
  <c r="N7" i="3"/>
  <c r="O7" i="3"/>
  <c r="P7" i="3"/>
  <c r="Q7" i="3"/>
  <c r="F7" i="3"/>
  <c r="E17" i="4"/>
  <c r="F17" i="4"/>
  <c r="G17" i="4"/>
  <c r="H17" i="4"/>
  <c r="I17" i="4"/>
  <c r="J17" i="4"/>
  <c r="K17" i="4"/>
  <c r="L17" i="4"/>
  <c r="M17" i="4"/>
  <c r="N17" i="4"/>
  <c r="O17" i="4"/>
  <c r="D17" i="4"/>
  <c r="F16" i="4"/>
  <c r="G16" i="4"/>
  <c r="H16" i="4"/>
  <c r="I16" i="4"/>
  <c r="J16" i="4"/>
  <c r="K16" i="4"/>
  <c r="L16" i="4"/>
  <c r="M16" i="4"/>
  <c r="N16" i="4"/>
  <c r="O16" i="4"/>
  <c r="E16" i="4"/>
  <c r="G6" i="3"/>
  <c r="H6" i="3"/>
  <c r="I6" i="3"/>
  <c r="J6" i="3"/>
  <c r="K6" i="3"/>
  <c r="L6" i="3"/>
  <c r="M6" i="3"/>
  <c r="N6" i="3"/>
  <c r="O6" i="3"/>
  <c r="P6" i="3"/>
  <c r="Q6" i="3"/>
  <c r="F6" i="3"/>
  <c r="E10" i="4"/>
  <c r="F10" i="4"/>
  <c r="G10" i="4"/>
  <c r="H10" i="4"/>
  <c r="I10" i="4"/>
  <c r="J10" i="4"/>
  <c r="K10" i="4"/>
  <c r="L10" i="4"/>
  <c r="M10" i="4"/>
  <c r="N10" i="4"/>
  <c r="O10" i="4"/>
  <c r="P10" i="4"/>
  <c r="D10" i="4"/>
  <c r="E7" i="4"/>
  <c r="F7" i="4"/>
  <c r="G7" i="4"/>
  <c r="H7" i="4"/>
  <c r="I7" i="4"/>
  <c r="J7" i="4"/>
  <c r="K7" i="4"/>
  <c r="L7" i="4"/>
  <c r="M7" i="4"/>
  <c r="N7" i="4"/>
  <c r="O7" i="4"/>
  <c r="P7" i="4"/>
  <c r="E8" i="4"/>
  <c r="F8" i="4"/>
  <c r="G8" i="4"/>
  <c r="H8" i="4"/>
  <c r="I8" i="4"/>
  <c r="J8" i="4"/>
  <c r="K8" i="4"/>
  <c r="L8" i="4"/>
  <c r="M8" i="4"/>
  <c r="N8" i="4"/>
  <c r="O8" i="4"/>
  <c r="P8" i="4"/>
  <c r="D8" i="4"/>
  <c r="D7" i="4"/>
  <c r="P5" i="4"/>
  <c r="P4" i="4"/>
  <c r="F5" i="3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B18" i="2"/>
  <c r="P17" i="2"/>
  <c r="O17" i="2"/>
  <c r="N17" i="2"/>
  <c r="M17" i="2"/>
  <c r="L17" i="2"/>
  <c r="K17" i="2"/>
  <c r="J17" i="2"/>
  <c r="I17" i="2"/>
  <c r="H17" i="2"/>
  <c r="G17" i="2"/>
  <c r="F17" i="2"/>
  <c r="E17" i="2"/>
  <c r="P16" i="2"/>
  <c r="O16" i="2"/>
  <c r="N16" i="2"/>
  <c r="M16" i="2"/>
  <c r="L16" i="2"/>
  <c r="K16" i="2"/>
  <c r="J16" i="2"/>
  <c r="I16" i="2"/>
  <c r="H16" i="2"/>
  <c r="G16" i="2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N14" i="2"/>
  <c r="M14" i="2"/>
  <c r="L14" i="2"/>
  <c r="K14" i="2"/>
  <c r="J14" i="2"/>
  <c r="I14" i="2"/>
  <c r="H14" i="2"/>
  <c r="G14" i="2"/>
  <c r="G18" i="2" s="1"/>
  <c r="F14" i="2"/>
  <c r="F18" i="2" s="1"/>
  <c r="F19" i="2" s="1"/>
  <c r="E14" i="2"/>
  <c r="E18" i="2" s="1"/>
  <c r="E19" i="2" s="1"/>
  <c r="P13" i="2"/>
  <c r="O13" i="2"/>
  <c r="N13" i="2"/>
  <c r="M13" i="2"/>
  <c r="L13" i="2"/>
  <c r="K13" i="2"/>
  <c r="J13" i="2"/>
  <c r="I13" i="2"/>
  <c r="H13" i="2"/>
  <c r="G13" i="2"/>
  <c r="F13" i="2"/>
  <c r="E13" i="2"/>
  <c r="E9" i="2"/>
  <c r="H7" i="2"/>
  <c r="G7" i="2"/>
  <c r="H6" i="2"/>
  <c r="G6" i="2"/>
  <c r="H5" i="2"/>
  <c r="G5" i="2"/>
  <c r="H4" i="2"/>
  <c r="G4" i="2"/>
  <c r="F2" i="2"/>
  <c r="G2" i="2" s="1"/>
  <c r="F12" i="1"/>
  <c r="G12" i="1"/>
  <c r="H12" i="1"/>
  <c r="I12" i="1"/>
  <c r="J12" i="1"/>
  <c r="K12" i="1"/>
  <c r="L12" i="1"/>
  <c r="M12" i="1"/>
  <c r="N12" i="1"/>
  <c r="O12" i="1"/>
  <c r="E12" i="1"/>
  <c r="D12" i="1"/>
  <c r="D14" i="1" l="1"/>
  <c r="D27" i="1" s="1"/>
  <c r="D29" i="1" s="1"/>
  <c r="E18" i="1"/>
  <c r="E26" i="1" s="1"/>
  <c r="O18" i="1"/>
  <c r="O26" i="1" s="1"/>
  <c r="N18" i="1"/>
  <c r="M18" i="1"/>
  <c r="L18" i="1"/>
  <c r="J18" i="1"/>
  <c r="J25" i="1" s="1"/>
  <c r="H18" i="1"/>
  <c r="H26" i="1" s="1"/>
  <c r="G18" i="1"/>
  <c r="G25" i="1" s="1"/>
  <c r="F18" i="1"/>
  <c r="F25" i="1" s="1"/>
  <c r="D18" i="1"/>
  <c r="K18" i="1"/>
  <c r="K26" i="1" s="1"/>
  <c r="I18" i="1"/>
  <c r="I25" i="1" s="1"/>
  <c r="H30" i="3"/>
  <c r="G30" i="3"/>
  <c r="I30" i="3"/>
  <c r="S30" i="3" s="1"/>
  <c r="S29" i="3"/>
  <c r="L32" i="3"/>
  <c r="K32" i="3"/>
  <c r="J32" i="3"/>
  <c r="I32" i="3"/>
  <c r="H32" i="3"/>
  <c r="G32" i="3"/>
  <c r="O11" i="3"/>
  <c r="S9" i="3"/>
  <c r="S10" i="3"/>
  <c r="S6" i="3"/>
  <c r="S7" i="3"/>
  <c r="N11" i="3"/>
  <c r="M11" i="3"/>
  <c r="L11" i="3"/>
  <c r="Q11" i="3"/>
  <c r="N17" i="3"/>
  <c r="K11" i="3"/>
  <c r="J11" i="3"/>
  <c r="I11" i="3"/>
  <c r="H11" i="3"/>
  <c r="S15" i="3"/>
  <c r="G11" i="3"/>
  <c r="S5" i="3"/>
  <c r="S14" i="3"/>
  <c r="S18" i="3"/>
  <c r="S16" i="3"/>
  <c r="F11" i="3"/>
  <c r="P11" i="3"/>
  <c r="J19" i="3"/>
  <c r="F19" i="3"/>
  <c r="L19" i="3"/>
  <c r="L21" i="3" s="1"/>
  <c r="L27" i="3" s="1"/>
  <c r="K19" i="3"/>
  <c r="N19" i="3"/>
  <c r="M19" i="3"/>
  <c r="I19" i="3"/>
  <c r="I21" i="3" s="1"/>
  <c r="I27" i="3" s="1"/>
  <c r="H19" i="3"/>
  <c r="H21" i="3" s="1"/>
  <c r="H27" i="3" s="1"/>
  <c r="G19" i="3"/>
  <c r="H18" i="2"/>
  <c r="I18" i="2"/>
  <c r="M18" i="2"/>
  <c r="J18" i="2"/>
  <c r="N18" i="2"/>
  <c r="K18" i="2"/>
  <c r="O18" i="2"/>
  <c r="L18" i="2"/>
  <c r="P18" i="2"/>
  <c r="P19" i="2" s="1"/>
  <c r="L19" i="2"/>
  <c r="J26" i="1" l="1"/>
  <c r="K25" i="1"/>
  <c r="H25" i="1"/>
  <c r="E25" i="1"/>
  <c r="I26" i="1"/>
  <c r="H38" i="3"/>
  <c r="I38" i="3"/>
  <c r="L38" i="3"/>
  <c r="S11" i="3"/>
  <c r="M21" i="3"/>
  <c r="M27" i="3" s="1"/>
  <c r="M38" i="3" s="1"/>
  <c r="N21" i="3"/>
  <c r="N27" i="3" s="1"/>
  <c r="K21" i="3"/>
  <c r="K27" i="3" s="1"/>
  <c r="K38" i="3" s="1"/>
  <c r="O17" i="3"/>
  <c r="N32" i="3"/>
  <c r="J21" i="3"/>
  <c r="J27" i="3" s="1"/>
  <c r="J38" i="3" s="1"/>
  <c r="G21" i="3"/>
  <c r="G27" i="3" s="1"/>
  <c r="G38" i="3" s="1"/>
  <c r="F21" i="3"/>
  <c r="O19" i="2"/>
  <c r="K19" i="2"/>
  <c r="N19" i="2"/>
  <c r="J19" i="2"/>
  <c r="M19" i="2"/>
  <c r="I19" i="2"/>
  <c r="H19" i="2"/>
  <c r="G19" i="2"/>
  <c r="O25" i="1"/>
  <c r="F26" i="1"/>
  <c r="G26" i="1"/>
  <c r="E11" i="1"/>
  <c r="L26" i="1"/>
  <c r="L25" i="1"/>
  <c r="M26" i="1"/>
  <c r="M25" i="1"/>
  <c r="N26" i="1"/>
  <c r="N25" i="1"/>
  <c r="D26" i="1"/>
  <c r="D25" i="1"/>
  <c r="E14" i="1" l="1"/>
  <c r="E27" i="1" s="1"/>
  <c r="E29" i="1" s="1"/>
  <c r="N38" i="3"/>
  <c r="P17" i="3"/>
  <c r="O32" i="3"/>
  <c r="O19" i="3"/>
  <c r="F27" i="3"/>
  <c r="F38" i="3" s="1"/>
  <c r="F11" i="1" l="1"/>
  <c r="F14" i="1"/>
  <c r="F27" i="1" s="1"/>
  <c r="F29" i="1" s="1"/>
  <c r="F40" i="3"/>
  <c r="G39" i="3" s="1"/>
  <c r="G40" i="3" s="1"/>
  <c r="H39" i="3" s="1"/>
  <c r="H40" i="3" s="1"/>
  <c r="I39" i="3" s="1"/>
  <c r="I40" i="3" s="1"/>
  <c r="J39" i="3" s="1"/>
  <c r="J40" i="3" s="1"/>
  <c r="K39" i="3" s="1"/>
  <c r="K40" i="3" s="1"/>
  <c r="L39" i="3" s="1"/>
  <c r="L40" i="3" s="1"/>
  <c r="M39" i="3" s="1"/>
  <c r="M40" i="3" s="1"/>
  <c r="N39" i="3" s="1"/>
  <c r="N40" i="3" s="1"/>
  <c r="O39" i="3" s="1"/>
  <c r="O21" i="3"/>
  <c r="Q17" i="3"/>
  <c r="P32" i="3"/>
  <c r="P19" i="3"/>
  <c r="P21" i="3" s="1"/>
  <c r="P27" i="3" s="1"/>
  <c r="P38" i="3" s="1"/>
  <c r="G11" i="1" l="1"/>
  <c r="G14" i="1"/>
  <c r="G27" i="1" s="1"/>
  <c r="G29" i="1" s="1"/>
  <c r="Q19" i="3"/>
  <c r="Q21" i="3" s="1"/>
  <c r="Q27" i="3" s="1"/>
  <c r="Q32" i="3"/>
  <c r="S32" i="3" s="1"/>
  <c r="O27" i="3"/>
  <c r="O38" i="3" s="1"/>
  <c r="S17" i="3"/>
  <c r="H11" i="1" l="1"/>
  <c r="H14" i="1"/>
  <c r="H27" i="1" s="1"/>
  <c r="H29" i="1" s="1"/>
  <c r="Q38" i="3"/>
  <c r="S38" i="3" s="1"/>
  <c r="O40" i="3"/>
  <c r="P39" i="3" s="1"/>
  <c r="P40" i="3" s="1"/>
  <c r="Q39" i="3" s="1"/>
  <c r="Q40" i="3" s="1"/>
  <c r="S21" i="3"/>
  <c r="S27" i="3"/>
  <c r="S19" i="3"/>
  <c r="I11" i="1" l="1"/>
  <c r="I14" i="1"/>
  <c r="I27" i="1" s="1"/>
  <c r="I29" i="1" s="1"/>
  <c r="J11" i="1" l="1"/>
  <c r="J14" i="1"/>
  <c r="J27" i="1" s="1"/>
  <c r="J29" i="1" s="1"/>
  <c r="K11" i="1" l="1"/>
  <c r="K14" i="1"/>
  <c r="K27" i="1" s="1"/>
  <c r="K29" i="1" s="1"/>
  <c r="L11" i="1"/>
  <c r="L14" i="1" l="1"/>
  <c r="L27" i="1" s="1"/>
  <c r="M11" i="1"/>
  <c r="L30" i="1" l="1"/>
  <c r="L29" i="1"/>
  <c r="M14" i="1"/>
  <c r="M27" i="1" s="1"/>
  <c r="N11" i="1"/>
  <c r="M29" i="1" l="1"/>
  <c r="M30" i="1"/>
  <c r="N14" i="1"/>
  <c r="N27" i="1" s="1"/>
  <c r="O11" i="1"/>
  <c r="N30" i="1" l="1"/>
  <c r="N29" i="1"/>
  <c r="O14" i="1"/>
  <c r="O27" i="1" s="1"/>
  <c r="O30" i="1" l="1"/>
  <c r="O29" i="1"/>
</calcChain>
</file>

<file path=xl/sharedStrings.xml><?xml version="1.0" encoding="utf-8"?>
<sst xmlns="http://schemas.openxmlformats.org/spreadsheetml/2006/main" count="155" uniqueCount="99">
  <si>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</si>
  <si>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</si>
  <si>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</si>
  <si>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</si>
  <si>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</si>
  <si>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</si>
  <si>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</si>
  <si>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</si>
  <si>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</si>
  <si>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</si>
  <si>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</si>
  <si>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</si>
  <si>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Opex</t>
  </si>
  <si>
    <t>Capex</t>
  </si>
  <si>
    <t>Receipts</t>
  </si>
  <si>
    <t>Payments</t>
  </si>
  <si>
    <t>Opening Balance</t>
  </si>
  <si>
    <t>Closing Balance</t>
  </si>
  <si>
    <t>Movement</t>
  </si>
  <si>
    <t>Budget</t>
  </si>
  <si>
    <t>Shortfall</t>
  </si>
  <si>
    <t>+ Net Mvmt</t>
  </si>
  <si>
    <t>- Net Mvmt</t>
  </si>
  <si>
    <t>Cash Balance</t>
  </si>
  <si>
    <t>Current</t>
  </si>
  <si>
    <t>30-60 days</t>
  </si>
  <si>
    <t>60-90 days</t>
  </si>
  <si>
    <t>90-120 days</t>
  </si>
  <si>
    <t>Bonds</t>
  </si>
  <si>
    <t>Notice</t>
  </si>
  <si>
    <t>Invested</t>
  </si>
  <si>
    <t>Becoming available</t>
  </si>
  <si>
    <t>Total</t>
  </si>
  <si>
    <t>£,000</t>
  </si>
  <si>
    <t>Actual</t>
  </si>
  <si>
    <t>Target</t>
  </si>
  <si>
    <t>Difference</t>
  </si>
  <si>
    <t>Status</t>
  </si>
  <si>
    <t>Maturity Ladder</t>
  </si>
  <si>
    <t>Start</t>
  </si>
  <si>
    <t>End</t>
  </si>
  <si>
    <t>Budget to cash</t>
  </si>
  <si>
    <t>Income</t>
  </si>
  <si>
    <t>Regular giving</t>
  </si>
  <si>
    <t>Events</t>
  </si>
  <si>
    <t>Local Authority contracts</t>
  </si>
  <si>
    <t>Legacies</t>
  </si>
  <si>
    <t>Payroll</t>
  </si>
  <si>
    <t>Rent</t>
  </si>
  <si>
    <t>Utilities</t>
  </si>
  <si>
    <t>VAT</t>
  </si>
  <si>
    <t>Other costs</t>
  </si>
  <si>
    <t>Basis</t>
  </si>
  <si>
    <t>Factor</t>
  </si>
  <si>
    <t>Declining</t>
  </si>
  <si>
    <t>Seasonal profile</t>
  </si>
  <si>
    <t>Jan</t>
  </si>
  <si>
    <t>Average</t>
  </si>
  <si>
    <t>%</t>
  </si>
  <si>
    <t>Quarterly</t>
  </si>
  <si>
    <t>Month</t>
  </si>
  <si>
    <t>Mod</t>
  </si>
  <si>
    <t>One time</t>
  </si>
  <si>
    <t>Pay rise from April</t>
  </si>
  <si>
    <t>Surplus / Deficit</t>
  </si>
  <si>
    <t>BUDGET</t>
  </si>
  <si>
    <t>Average of last two years</t>
  </si>
  <si>
    <t>Total Income</t>
  </si>
  <si>
    <t>Expenditure</t>
  </si>
  <si>
    <t>Total Expenditure</t>
  </si>
  <si>
    <t>Charity shop (net)</t>
  </si>
  <si>
    <t>Gift Aid</t>
  </si>
  <si>
    <t>Seasonality</t>
  </si>
  <si>
    <t>Periodic Events</t>
  </si>
  <si>
    <t>Monthly - start April</t>
  </si>
  <si>
    <t>Depreciation</t>
  </si>
  <si>
    <t>Property addition in July</t>
  </si>
  <si>
    <t>CASH FLOW</t>
  </si>
  <si>
    <t>Add back depreciation</t>
  </si>
  <si>
    <t>New Building</t>
  </si>
  <si>
    <t>Other Equipment</t>
  </si>
  <si>
    <t>Per Month</t>
  </si>
  <si>
    <t>Net Cash Movement</t>
  </si>
  <si>
    <t>Lag effects</t>
  </si>
  <si>
    <t>Local authority</t>
  </si>
  <si>
    <t>Reverse earned month</t>
  </si>
  <si>
    <t>Restricted funds</t>
  </si>
  <si>
    <t>Insert paid month</t>
  </si>
  <si>
    <t>Cashflow</t>
  </si>
  <si>
    <t>Bal B/fwd</t>
  </si>
  <si>
    <t>Bal C/fwd</t>
  </si>
  <si>
    <t>Opening</t>
  </si>
  <si>
    <t>Closing</t>
  </si>
  <si>
    <t>Movements &gt; 0</t>
  </si>
  <si>
    <t>Movements &lt; 0</t>
  </si>
  <si>
    <t>C/fwd balance</t>
  </si>
  <si>
    <t>If actual less than budget the budget - actual</t>
  </si>
  <si>
    <t>Budget - shortfall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</si>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</sst>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mmm\ yy"/>
    <numFmt numFmtId="166" formatCode="_-* #,##0_-;\-* #,##0_-;_-* &quot;-&quot;??_-;_-@_-"/>
    <numFmt numFmtId="167" formatCode="0.0%"/>
    <numFmt numFmtId="168" formatCode="#,##0_);\(#,##0\)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" fontId="0" fillId="0" borderId="0" xfId="0" applyNumberFormat="1"/>
    <xf numFmtId="14" fontId="0" fillId="0" borderId="0" xfId="0" applyNumberFormat="1"/>
    <xf numFmtId="166" fontId="0" fillId="0" borderId="0" xfId="1" applyNumberFormat="1" applyFont="1"/>
    <xf numFmtId="166" fontId="0" fillId="0" borderId="1" xfId="1" applyNumberFormat="1" applyFont="1" applyBorder="1"/>
    <xf numFmtId="0" fontId="4" fillId="0" borderId="0" xfId="0" applyFont="1" applyAlignment="1">
      <alignment horizontal="center"/>
    </xf>
    <xf numFmtId="166" fontId="0" fillId="0" borderId="0" xfId="0" applyNumberFormat="1"/>
    <xf numFmtId="165" fontId="4" fillId="0" borderId="0" xfId="0" applyNumberFormat="1" applyFont="1" applyAlignment="1">
      <alignment horizontal="center"/>
    </xf>
    <xf numFmtId="0" fontId="5" fillId="0" borderId="0" xfId="0" applyFont="1"/>
    <xf numFmtId="9" fontId="0" fillId="0" borderId="0" xfId="0" applyNumberFormat="1"/>
    <xf numFmtId="167" fontId="0" fillId="0" borderId="0" xfId="0" applyNumberFormat="1"/>
    <xf numFmtId="168" fontId="0" fillId="0" borderId="0" xfId="0" applyNumberFormat="1"/>
    <xf numFmtId="167" fontId="0" fillId="0" borderId="0" xfId="2" applyNumberFormat="1" applyFont="1"/>
    <xf numFmtId="0" fontId="4" fillId="0" borderId="0" xfId="0" applyFont="1"/>
    <xf numFmtId="168" fontId="0" fillId="0" borderId="1" xfId="0" applyNumberFormat="1" applyBorder="1"/>
    <xf numFmtId="168" fontId="4" fillId="0" borderId="0" xfId="0" applyNumberFormat="1" applyFont="1"/>
    <xf numFmtId="168" fontId="3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1">
    <dxf>
      <font>
        <color theme="1"/>
      </font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Monthly 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5"/>
          <c:order val="3"/>
          <c:tx>
            <c:strRef>
              <c:f>Charting!$C$30</c:f>
              <c:strCache>
                <c:ptCount val="1"/>
                <c:pt idx="0">
                  <c:v>Blank</c:v>
                </c:pt>
              </c:strCache>
            </c:strRef>
          </c:tx>
          <c:spPr>
            <a:noFill/>
            <a:ln>
              <a:noFill/>
            </a:ln>
            <a:effectLst/>
          </c:spPr>
          <c:val>
            <c:numRef>
              <c:f>Charting!$D$30:$O$30</c:f>
              <c:numCache>
                <c:formatCode>#,##0_);\(#,##0\)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877</c:v>
                </c:pt>
                <c:pt idx="9">
                  <c:v>851</c:v>
                </c:pt>
                <c:pt idx="10">
                  <c:v>771</c:v>
                </c:pt>
                <c:pt idx="11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FF-4C47-9D5B-FA35F371AFDF}"/>
            </c:ext>
          </c:extLst>
        </c:ser>
        <c:ser>
          <c:idx val="4"/>
          <c:order val="4"/>
          <c:tx>
            <c:strRef>
              <c:f>Charting!$C$29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val>
            <c:numRef>
              <c:f>Charting!$D$29:$O$29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123</c:v>
                </c:pt>
                <c:pt idx="9">
                  <c:v>149</c:v>
                </c:pt>
                <c:pt idx="10">
                  <c:v>229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FF-4C47-9D5B-FA35F371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875583"/>
        <c:axId val="1255876543"/>
      </c:areaChart>
      <c:barChart>
        <c:barDir val="col"/>
        <c:grouping val="stacked"/>
        <c:varyColors val="0"/>
        <c:ser>
          <c:idx val="0"/>
          <c:order val="0"/>
          <c:tx>
            <c:strRef>
              <c:f>Charting!$C$25</c:f>
              <c:strCache>
                <c:ptCount val="1"/>
                <c:pt idx="0">
                  <c:v>+ Net Mvmt</c:v>
                </c:pt>
              </c:strCache>
            </c:strRef>
          </c:tx>
          <c:spPr>
            <a:solidFill>
              <a:srgbClr val="00B05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Charting!$D$24:$O$24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Charting!$D$25:$O$25</c:f>
              <c:numCache>
                <c:formatCode>#,##0_);\(#,##0\)</c:formatCode>
                <c:ptCount val="12"/>
                <c:pt idx="0">
                  <c:v>287</c:v>
                </c:pt>
                <c:pt idx="1">
                  <c:v>235</c:v>
                </c:pt>
                <c:pt idx="2">
                  <c:v>29</c:v>
                </c:pt>
                <c:pt idx="3">
                  <c:v>0</c:v>
                </c:pt>
                <c:pt idx="4">
                  <c:v>215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F-4C47-9D5B-FA35F371AFDF}"/>
            </c:ext>
          </c:extLst>
        </c:ser>
        <c:ser>
          <c:idx val="1"/>
          <c:order val="1"/>
          <c:tx>
            <c:strRef>
              <c:f>Charting!$C$26</c:f>
              <c:strCache>
                <c:ptCount val="1"/>
                <c:pt idx="0">
                  <c:v>- Net Mvmt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>
              <a:noFill/>
            </a:ln>
            <a:effectLst/>
          </c:spPr>
          <c:invertIfNegative val="0"/>
          <c:cat>
            <c:strRef>
              <c:f>Charting!$D$24:$O$24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Charting!$D$26:$O$26</c:f>
              <c:numCache>
                <c:formatCode>#,##0_);\(#,##0\)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-183</c:v>
                </c:pt>
                <c:pt idx="4">
                  <c:v>0</c:v>
                </c:pt>
                <c:pt idx="5">
                  <c:v>-390</c:v>
                </c:pt>
                <c:pt idx="6">
                  <c:v>0</c:v>
                </c:pt>
                <c:pt idx="7">
                  <c:v>-255</c:v>
                </c:pt>
                <c:pt idx="8">
                  <c:v>-128</c:v>
                </c:pt>
                <c:pt idx="9">
                  <c:v>-26</c:v>
                </c:pt>
                <c:pt idx="10">
                  <c:v>-80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C47-9D5B-FA35F371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5875583"/>
        <c:axId val="1255876543"/>
      </c:barChart>
      <c:lineChart>
        <c:grouping val="standard"/>
        <c:varyColors val="0"/>
        <c:ser>
          <c:idx val="3"/>
          <c:order val="2"/>
          <c:tx>
            <c:strRef>
              <c:f>Charting!$C$28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Charting!$D$28:$O$28</c:f>
              <c:numCache>
                <c:formatCode>#,##0_);\(#,##0\)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F-4C47-9D5B-FA35F371AFDF}"/>
            </c:ext>
          </c:extLst>
        </c:ser>
        <c:ser>
          <c:idx val="2"/>
          <c:order val="5"/>
          <c:tx>
            <c:strRef>
              <c:f>Charting!$C$27</c:f>
              <c:strCache>
                <c:ptCount val="1"/>
                <c:pt idx="0">
                  <c:v>Cash Balance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Charting!$D$24:$O$24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Charting!$D$27:$O$27</c:f>
              <c:numCache>
                <c:formatCode>#,##0_);\(#,##0\)</c:formatCode>
                <c:ptCount val="12"/>
                <c:pt idx="0">
                  <c:v>1353</c:v>
                </c:pt>
                <c:pt idx="1">
                  <c:v>1588</c:v>
                </c:pt>
                <c:pt idx="2">
                  <c:v>1617</c:v>
                </c:pt>
                <c:pt idx="3">
                  <c:v>1434</c:v>
                </c:pt>
                <c:pt idx="4">
                  <c:v>1649</c:v>
                </c:pt>
                <c:pt idx="5">
                  <c:v>1259</c:v>
                </c:pt>
                <c:pt idx="6">
                  <c:v>1260</c:v>
                </c:pt>
                <c:pt idx="7">
                  <c:v>1005</c:v>
                </c:pt>
                <c:pt idx="8">
                  <c:v>877</c:v>
                </c:pt>
                <c:pt idx="9">
                  <c:v>851</c:v>
                </c:pt>
                <c:pt idx="10">
                  <c:v>771</c:v>
                </c:pt>
                <c:pt idx="11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F-4C47-9D5B-FA35F371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875583"/>
        <c:axId val="1255876543"/>
      </c:lineChart>
      <c:catAx>
        <c:axId val="12558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876543"/>
        <c:crosses val="autoZero"/>
        <c:auto val="1"/>
        <c:lblAlgn val="ctr"/>
        <c:lblOffset val="100"/>
        <c:noMultiLvlLbl val="0"/>
      </c:catAx>
      <c:valAx>
        <c:axId val="125587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875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_xlchart.v5.1</cx:f>
      </cx:strDim>
      <cx:numDim type="val">
        <cx:f dir="row">_xlchart.v5.2</cx:f>
      </cx:numDim>
    </cx:data>
  </cx:chartData>
  <cx:chart>
    <cx:title pos="t" align="ctr" overlay="0">
      <cx:tx>
        <cx:txData>
          <cx:v>Monthly Cash Flow Movements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Cash Flow Movements</a:t>
          </a:r>
        </a:p>
      </cx:txPr>
    </cx:title>
    <cx:plotArea>
      <cx:plotAreaRegion>
        <cx:series layoutId="waterfall" uniqueId="{8D652F58-61C6-49C2-8182-0C5DC02C855D}">
          <cx:tx>
            <cx:txData>
              <cx:f>_xlchart.v5.0</cx:f>
              <cx:v>Movement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GB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fmtOvrs>
    <cx:fmtOvr idx="0">
      <cx:spPr>
        <a:solidFill>
          <a:srgbClr val="00B050"/>
        </a:solidFill>
      </cx:spPr>
    </cx:fmtOvr>
    <cx:fmtOvr idx="1">
      <cx:spPr>
        <a:solidFill>
          <a:srgbClr val="FF0000"/>
        </a:solidFill>
      </cx:spPr>
    </cx:fmtOvr>
    <cx:fmtOvr idx="2">
      <cx:spPr>
        <a:solidFill>
          <a:srgbClr val="FFC000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480060</xdr:colOff>
      <xdr:row>2</xdr:row>
      <xdr:rowOff>171450</xdr:rowOff>
    </xdr:from>
    <xdr:to>
      <xdr:col>31</xdr:col>
      <xdr:colOff>419100</xdr:colOff>
      <xdr:row>23</xdr:row>
      <xdr:rowOff>83820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2467779-BA4B-0108-C633-3882065153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69240" y="537210"/>
              <a:ext cx="7254240" cy="37833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480060</xdr:colOff>
      <xdr:row>30</xdr:row>
      <xdr:rowOff>121920</xdr:rowOff>
    </xdr:from>
    <xdr:to>
      <xdr:col>14</xdr:col>
      <xdr:colOff>106680</xdr:colOff>
      <xdr:row>52</xdr:row>
      <xdr:rowOff>22860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69E85C-2561-4419-9C3C-C35C82375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6378-438B-4170-B153-42D9EE1DCD34}">
  <dimension ref="A1:S44"/>
  <sheetViews>
    <sheetView tabSelected="1" zoomScale="115" zoomScaleNormal="115" workbookViewId="0">
      <selection activeCell="C12" sqref="C12"/>
    </sheetView>
  </sheetViews>
  <sheetFormatPr defaultRowHeight="14.4" x14ac:dyDescent="0.3"/>
  <cols>
    <col min="1" max="1" width="10.5546875" style="14" customWidth="1"/>
    <col min="2" max="2" width="21" bestFit="1" customWidth="1"/>
    <col min="3" max="3" width="21.77734375" customWidth="1"/>
    <col min="5" max="5" width="3.44140625" customWidth="1"/>
    <col min="18" max="18" width="1.21875" customWidth="1"/>
  </cols>
  <sheetData>
    <row r="1" spans="1:19" ht="25.8" x14ac:dyDescent="0.5">
      <c r="A1" s="9" t="s">
        <v>41</v>
      </c>
      <c r="C1" t="s">
        <v>33</v>
      </c>
    </row>
    <row r="4" spans="1:19" x14ac:dyDescent="0.3">
      <c r="A4" s="14" t="s">
        <v>65</v>
      </c>
      <c r="C4" t="s">
        <v>52</v>
      </c>
      <c r="D4" t="s">
        <v>53</v>
      </c>
      <c r="F4" s="8">
        <v>45688</v>
      </c>
      <c r="G4" s="8">
        <v>45716</v>
      </c>
      <c r="H4" s="8">
        <v>45747</v>
      </c>
      <c r="I4" s="8">
        <v>45777</v>
      </c>
      <c r="J4" s="8">
        <v>45808</v>
      </c>
      <c r="K4" s="8">
        <v>45838</v>
      </c>
      <c r="L4" s="8">
        <v>45869</v>
      </c>
      <c r="M4" s="8">
        <v>45900</v>
      </c>
      <c r="N4" s="8">
        <v>45930</v>
      </c>
      <c r="O4" s="8">
        <v>45961</v>
      </c>
      <c r="P4" s="8">
        <v>45991</v>
      </c>
      <c r="Q4" s="8">
        <v>46022</v>
      </c>
      <c r="S4" s="8" t="s">
        <v>32</v>
      </c>
    </row>
    <row r="5" spans="1:19" x14ac:dyDescent="0.3">
      <c r="A5" s="14" t="s">
        <v>42</v>
      </c>
      <c r="B5" t="s">
        <v>43</v>
      </c>
      <c r="C5" t="s">
        <v>54</v>
      </c>
      <c r="D5" s="11">
        <v>5.0000000000000001E-3</v>
      </c>
      <c r="F5" s="12">
        <f>1000</f>
        <v>1000</v>
      </c>
      <c r="G5" s="12">
        <f>F5*(1-$D$5)</f>
        <v>995</v>
      </c>
      <c r="H5" s="12">
        <f t="shared" ref="H5:Q5" si="0">G5*(1-$D$5)</f>
        <v>990.02499999999998</v>
      </c>
      <c r="I5" s="12">
        <f t="shared" si="0"/>
        <v>985.07487500000002</v>
      </c>
      <c r="J5" s="12">
        <f t="shared" si="0"/>
        <v>980.14950062499997</v>
      </c>
      <c r="K5" s="12">
        <f t="shared" si="0"/>
        <v>975.24875312187498</v>
      </c>
      <c r="L5" s="12">
        <f t="shared" si="0"/>
        <v>970.3725093562656</v>
      </c>
      <c r="M5" s="12">
        <f t="shared" si="0"/>
        <v>965.52064680948422</v>
      </c>
      <c r="N5" s="12">
        <f t="shared" si="0"/>
        <v>960.69304357543683</v>
      </c>
      <c r="O5" s="12">
        <f t="shared" si="0"/>
        <v>955.88957835755969</v>
      </c>
      <c r="P5" s="12">
        <f t="shared" si="0"/>
        <v>951.11013046577193</v>
      </c>
      <c r="Q5" s="12">
        <f t="shared" si="0"/>
        <v>946.35457981344302</v>
      </c>
      <c r="S5" s="12">
        <f>SUM(F5:Q5)</f>
        <v>11675.438617124835</v>
      </c>
    </row>
    <row r="6" spans="1:19" x14ac:dyDescent="0.3">
      <c r="B6" t="s">
        <v>70</v>
      </c>
      <c r="C6" t="s">
        <v>55</v>
      </c>
      <c r="D6" s="12">
        <v>1800</v>
      </c>
      <c r="F6" s="12">
        <f>ROUND($D$6*Seasonality!D10,0)</f>
        <v>145</v>
      </c>
      <c r="G6" s="12">
        <f>ROUND($D$6*Seasonality!E10,0)</f>
        <v>110</v>
      </c>
      <c r="H6" s="12">
        <f>ROUND($D$6*Seasonality!F10,0)</f>
        <v>179</v>
      </c>
      <c r="I6" s="12">
        <f>ROUND($D$6*Seasonality!G10,0)</f>
        <v>196</v>
      </c>
      <c r="J6" s="12">
        <f>ROUND($D$6*Seasonality!H10,0)</f>
        <v>185</v>
      </c>
      <c r="K6" s="12">
        <f>ROUND($D$6*Seasonality!I10,0)</f>
        <v>144</v>
      </c>
      <c r="L6" s="12">
        <f>ROUND($D$6*Seasonality!J10,0)</f>
        <v>128</v>
      </c>
      <c r="M6" s="12">
        <f>ROUND($D$6*Seasonality!K10,0)</f>
        <v>97</v>
      </c>
      <c r="N6" s="12">
        <f>ROUND($D$6*Seasonality!L10,0)</f>
        <v>148</v>
      </c>
      <c r="O6" s="12">
        <f>ROUND($D$6*Seasonality!M10,0)</f>
        <v>161</v>
      </c>
      <c r="P6" s="12">
        <f>ROUND($D$6*Seasonality!N10,0)</f>
        <v>136</v>
      </c>
      <c r="Q6" s="12">
        <f>ROUND($D$6*Seasonality!O10,0)</f>
        <v>171</v>
      </c>
      <c r="S6" s="12">
        <f t="shared" ref="S6:S21" si="1">SUM(F6:Q6)</f>
        <v>1800</v>
      </c>
    </row>
    <row r="7" spans="1:19" x14ac:dyDescent="0.3">
      <c r="B7" t="s">
        <v>44</v>
      </c>
      <c r="C7" t="s">
        <v>59</v>
      </c>
      <c r="D7" s="12">
        <v>25</v>
      </c>
      <c r="F7" s="12">
        <f>IF(Seasonality!D17=0,$D$7,0)</f>
        <v>0</v>
      </c>
      <c r="G7" s="12">
        <f>IF(Seasonality!E17=0,$D$7,0)</f>
        <v>0</v>
      </c>
      <c r="H7" s="12">
        <f>IF(Seasonality!F17=0,$D$7,0)</f>
        <v>25</v>
      </c>
      <c r="I7" s="12">
        <f>IF(Seasonality!G17=0,$D$7,0)</f>
        <v>0</v>
      </c>
      <c r="J7" s="12">
        <f>IF(Seasonality!H17=0,$D$7,0)</f>
        <v>0</v>
      </c>
      <c r="K7" s="12">
        <f>IF(Seasonality!I17=0,$D$7,0)</f>
        <v>25</v>
      </c>
      <c r="L7" s="12">
        <f>IF(Seasonality!J17=0,$D$7,0)</f>
        <v>0</v>
      </c>
      <c r="M7" s="12">
        <f>IF(Seasonality!K17=0,$D$7,0)</f>
        <v>0</v>
      </c>
      <c r="N7" s="12">
        <f>IF(Seasonality!L17=0,$D$7,0)</f>
        <v>25</v>
      </c>
      <c r="O7" s="12">
        <f>IF(Seasonality!M17=0,$D$7,0)</f>
        <v>0</v>
      </c>
      <c r="P7" s="12">
        <f>IF(Seasonality!N17=0,$D$7,0)</f>
        <v>0</v>
      </c>
      <c r="Q7" s="12">
        <f>IF(Seasonality!O17=0,$D$7,0)</f>
        <v>25</v>
      </c>
      <c r="S7" s="12">
        <f t="shared" si="1"/>
        <v>100</v>
      </c>
    </row>
    <row r="8" spans="1:19" x14ac:dyDescent="0.3">
      <c r="B8" t="s">
        <v>71</v>
      </c>
      <c r="C8" t="s">
        <v>62</v>
      </c>
      <c r="D8" s="12">
        <v>250</v>
      </c>
      <c r="F8" s="12">
        <v>0</v>
      </c>
      <c r="G8" s="12">
        <v>0</v>
      </c>
      <c r="H8" s="12">
        <v>0</v>
      </c>
      <c r="I8" s="12">
        <v>0</v>
      </c>
      <c r="J8" s="12">
        <f>D8</f>
        <v>250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S8" s="12">
        <f t="shared" si="1"/>
        <v>250</v>
      </c>
    </row>
    <row r="9" spans="1:19" x14ac:dyDescent="0.3">
      <c r="B9" t="s">
        <v>45</v>
      </c>
      <c r="C9" t="s">
        <v>74</v>
      </c>
      <c r="D9" s="12">
        <v>185</v>
      </c>
      <c r="F9" s="12">
        <v>0</v>
      </c>
      <c r="G9" s="12">
        <v>0</v>
      </c>
      <c r="H9" s="12">
        <v>0</v>
      </c>
      <c r="I9" s="12">
        <f t="shared" ref="I9:Q9" si="2">$D$9</f>
        <v>185</v>
      </c>
      <c r="J9" s="12">
        <f t="shared" si="2"/>
        <v>185</v>
      </c>
      <c r="K9" s="12">
        <f t="shared" si="2"/>
        <v>185</v>
      </c>
      <c r="L9" s="12">
        <f t="shared" si="2"/>
        <v>185</v>
      </c>
      <c r="M9" s="12">
        <f t="shared" si="2"/>
        <v>185</v>
      </c>
      <c r="N9" s="12">
        <f t="shared" si="2"/>
        <v>185</v>
      </c>
      <c r="O9" s="12">
        <f t="shared" si="2"/>
        <v>185</v>
      </c>
      <c r="P9" s="12">
        <f t="shared" si="2"/>
        <v>185</v>
      </c>
      <c r="Q9" s="12">
        <f t="shared" si="2"/>
        <v>185</v>
      </c>
      <c r="S9" s="12">
        <f t="shared" si="1"/>
        <v>1665</v>
      </c>
    </row>
    <row r="10" spans="1:19" x14ac:dyDescent="0.3">
      <c r="B10" t="s">
        <v>46</v>
      </c>
      <c r="C10" t="s">
        <v>66</v>
      </c>
      <c r="D10" s="12">
        <v>200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>D10/2</f>
        <v>100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>K10</f>
        <v>100</v>
      </c>
      <c r="S10" s="12">
        <f t="shared" si="1"/>
        <v>200</v>
      </c>
    </row>
    <row r="11" spans="1:19" ht="15" thickBot="1" x14ac:dyDescent="0.35">
      <c r="B11" s="14" t="s">
        <v>67</v>
      </c>
      <c r="D11" s="12"/>
      <c r="F11" s="15">
        <f>SUM(F5:F10)</f>
        <v>1145</v>
      </c>
      <c r="G11" s="15">
        <f t="shared" ref="G11:Q11" si="3">SUM(G5:G10)</f>
        <v>1105</v>
      </c>
      <c r="H11" s="15">
        <f t="shared" si="3"/>
        <v>1194.0250000000001</v>
      </c>
      <c r="I11" s="15">
        <f t="shared" si="3"/>
        <v>1366.074875</v>
      </c>
      <c r="J11" s="15">
        <f t="shared" si="3"/>
        <v>1600.149500625</v>
      </c>
      <c r="K11" s="15">
        <f t="shared" si="3"/>
        <v>1429.2487531218749</v>
      </c>
      <c r="L11" s="15">
        <f t="shared" si="3"/>
        <v>1283.3725093562657</v>
      </c>
      <c r="M11" s="15">
        <f t="shared" si="3"/>
        <v>1247.5206468094843</v>
      </c>
      <c r="N11" s="15">
        <f t="shared" si="3"/>
        <v>1318.6930435754368</v>
      </c>
      <c r="O11" s="15">
        <f t="shared" si="3"/>
        <v>1301.8895783575597</v>
      </c>
      <c r="P11" s="15">
        <f t="shared" si="3"/>
        <v>1272.1101304657718</v>
      </c>
      <c r="Q11" s="15">
        <f t="shared" si="3"/>
        <v>1427.354579813443</v>
      </c>
      <c r="S11" s="15">
        <f t="shared" si="1"/>
        <v>15690.438617124835</v>
      </c>
    </row>
    <row r="12" spans="1:19" ht="15" thickTop="1" x14ac:dyDescent="0.3">
      <c r="D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S12" s="12"/>
    </row>
    <row r="13" spans="1:19" x14ac:dyDescent="0.3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S13" s="12"/>
    </row>
    <row r="14" spans="1:19" x14ac:dyDescent="0.3">
      <c r="A14" s="14" t="s">
        <v>68</v>
      </c>
      <c r="B14" t="s">
        <v>47</v>
      </c>
      <c r="C14" t="s">
        <v>63</v>
      </c>
      <c r="D14" s="10">
        <v>0.04</v>
      </c>
      <c r="F14" s="12">
        <v>-898</v>
      </c>
      <c r="G14" s="12">
        <f>F14</f>
        <v>-898</v>
      </c>
      <c r="H14" s="12">
        <f>G14</f>
        <v>-898</v>
      </c>
      <c r="I14" s="12">
        <f>H14*(1+D14)</f>
        <v>-933.92000000000007</v>
      </c>
      <c r="J14" s="12">
        <f>I14</f>
        <v>-933.92000000000007</v>
      </c>
      <c r="K14" s="12">
        <f t="shared" ref="K14:Q14" si="4">J14</f>
        <v>-933.92000000000007</v>
      </c>
      <c r="L14" s="12">
        <f t="shared" si="4"/>
        <v>-933.92000000000007</v>
      </c>
      <c r="M14" s="12">
        <f t="shared" si="4"/>
        <v>-933.92000000000007</v>
      </c>
      <c r="N14" s="12">
        <f t="shared" si="4"/>
        <v>-933.92000000000007</v>
      </c>
      <c r="O14" s="12">
        <f t="shared" si="4"/>
        <v>-933.92000000000007</v>
      </c>
      <c r="P14" s="12">
        <f t="shared" si="4"/>
        <v>-933.92000000000007</v>
      </c>
      <c r="Q14" s="12">
        <f t="shared" si="4"/>
        <v>-933.92000000000007</v>
      </c>
      <c r="S14" s="12">
        <f t="shared" si="1"/>
        <v>-11099.28</v>
      </c>
    </row>
    <row r="15" spans="1:19" x14ac:dyDescent="0.3">
      <c r="B15" t="s">
        <v>48</v>
      </c>
      <c r="D15" s="12">
        <v>55</v>
      </c>
      <c r="F15" s="12">
        <f>-$D$15</f>
        <v>-55</v>
      </c>
      <c r="G15" s="12">
        <f t="shared" ref="G15:Q15" si="5">-$D$15</f>
        <v>-55</v>
      </c>
      <c r="H15" s="12">
        <f t="shared" si="5"/>
        <v>-55</v>
      </c>
      <c r="I15" s="12">
        <f t="shared" si="5"/>
        <v>-55</v>
      </c>
      <c r="J15" s="12">
        <f t="shared" si="5"/>
        <v>-55</v>
      </c>
      <c r="K15" s="12">
        <f t="shared" si="5"/>
        <v>-55</v>
      </c>
      <c r="L15" s="12">
        <f t="shared" si="5"/>
        <v>-55</v>
      </c>
      <c r="M15" s="12">
        <f t="shared" si="5"/>
        <v>-55</v>
      </c>
      <c r="N15" s="12">
        <f t="shared" si="5"/>
        <v>-55</v>
      </c>
      <c r="O15" s="12">
        <f t="shared" si="5"/>
        <v>-55</v>
      </c>
      <c r="P15" s="12">
        <f t="shared" si="5"/>
        <v>-55</v>
      </c>
      <c r="Q15" s="12">
        <f t="shared" si="5"/>
        <v>-55</v>
      </c>
      <c r="S15" s="12">
        <f t="shared" si="1"/>
        <v>-660</v>
      </c>
    </row>
    <row r="16" spans="1:19" x14ac:dyDescent="0.3">
      <c r="B16" t="s">
        <v>49</v>
      </c>
      <c r="D16" s="12">
        <v>35</v>
      </c>
      <c r="F16" s="12">
        <f>-$D$16</f>
        <v>-35</v>
      </c>
      <c r="G16" s="12">
        <f t="shared" ref="G16:Q16" si="6">-$D$16</f>
        <v>-35</v>
      </c>
      <c r="H16" s="12">
        <f t="shared" si="6"/>
        <v>-35</v>
      </c>
      <c r="I16" s="12">
        <f t="shared" si="6"/>
        <v>-35</v>
      </c>
      <c r="J16" s="12">
        <f t="shared" si="6"/>
        <v>-35</v>
      </c>
      <c r="K16" s="12">
        <f t="shared" si="6"/>
        <v>-35</v>
      </c>
      <c r="L16" s="12">
        <f t="shared" si="6"/>
        <v>-35</v>
      </c>
      <c r="M16" s="12">
        <f t="shared" si="6"/>
        <v>-35</v>
      </c>
      <c r="N16" s="12">
        <f t="shared" si="6"/>
        <v>-35</v>
      </c>
      <c r="O16" s="12">
        <f t="shared" si="6"/>
        <v>-35</v>
      </c>
      <c r="P16" s="12">
        <f t="shared" si="6"/>
        <v>-35</v>
      </c>
      <c r="Q16" s="12">
        <f t="shared" si="6"/>
        <v>-35</v>
      </c>
      <c r="S16" s="12">
        <f t="shared" si="1"/>
        <v>-420</v>
      </c>
    </row>
    <row r="17" spans="1:19" x14ac:dyDescent="0.3">
      <c r="B17" t="s">
        <v>75</v>
      </c>
      <c r="C17" t="s">
        <v>76</v>
      </c>
      <c r="D17" s="12">
        <v>28</v>
      </c>
      <c r="F17" s="12">
        <v>-50</v>
      </c>
      <c r="G17" s="12">
        <f>F17</f>
        <v>-50</v>
      </c>
      <c r="H17" s="12">
        <f t="shared" ref="H17:Q17" si="7">G17</f>
        <v>-50</v>
      </c>
      <c r="I17" s="12">
        <f t="shared" si="7"/>
        <v>-50</v>
      </c>
      <c r="J17" s="12">
        <f t="shared" si="7"/>
        <v>-50</v>
      </c>
      <c r="K17" s="12">
        <f t="shared" si="7"/>
        <v>-50</v>
      </c>
      <c r="L17" s="12">
        <f>K17-D17</f>
        <v>-78</v>
      </c>
      <c r="M17" s="12">
        <f t="shared" si="7"/>
        <v>-78</v>
      </c>
      <c r="N17" s="12">
        <f t="shared" si="7"/>
        <v>-78</v>
      </c>
      <c r="O17" s="12">
        <f t="shared" si="7"/>
        <v>-78</v>
      </c>
      <c r="P17" s="12">
        <f t="shared" si="7"/>
        <v>-78</v>
      </c>
      <c r="Q17" s="12">
        <f t="shared" si="7"/>
        <v>-78</v>
      </c>
      <c r="S17" s="12">
        <f t="shared" si="1"/>
        <v>-768</v>
      </c>
    </row>
    <row r="18" spans="1:19" x14ac:dyDescent="0.3">
      <c r="B18" t="s">
        <v>51</v>
      </c>
      <c r="D18" s="12">
        <v>145</v>
      </c>
      <c r="F18" s="12">
        <f>-$D$18</f>
        <v>-145</v>
      </c>
      <c r="G18" s="12">
        <f t="shared" ref="G18:Q18" si="8">-$D$18</f>
        <v>-145</v>
      </c>
      <c r="H18" s="12">
        <f t="shared" si="8"/>
        <v>-145</v>
      </c>
      <c r="I18" s="12">
        <f t="shared" si="8"/>
        <v>-145</v>
      </c>
      <c r="J18" s="12">
        <f t="shared" si="8"/>
        <v>-145</v>
      </c>
      <c r="K18" s="12">
        <f t="shared" si="8"/>
        <v>-145</v>
      </c>
      <c r="L18" s="12">
        <f t="shared" si="8"/>
        <v>-145</v>
      </c>
      <c r="M18" s="12">
        <f t="shared" si="8"/>
        <v>-145</v>
      </c>
      <c r="N18" s="12">
        <f t="shared" si="8"/>
        <v>-145</v>
      </c>
      <c r="O18" s="12">
        <f t="shared" si="8"/>
        <v>-145</v>
      </c>
      <c r="P18" s="12">
        <f t="shared" si="8"/>
        <v>-145</v>
      </c>
      <c r="Q18" s="12">
        <f t="shared" si="8"/>
        <v>-145</v>
      </c>
      <c r="S18" s="12">
        <f t="shared" si="1"/>
        <v>-1740</v>
      </c>
    </row>
    <row r="19" spans="1:19" ht="15" thickBot="1" x14ac:dyDescent="0.35">
      <c r="B19" s="14" t="s">
        <v>69</v>
      </c>
      <c r="F19" s="15">
        <f>SUM(F14:F18)</f>
        <v>-1183</v>
      </c>
      <c r="G19" s="15">
        <f t="shared" ref="G19:Q19" si="9">SUM(G14:G18)</f>
        <v>-1183</v>
      </c>
      <c r="H19" s="15">
        <f t="shared" si="9"/>
        <v>-1183</v>
      </c>
      <c r="I19" s="15">
        <f t="shared" si="9"/>
        <v>-1218.92</v>
      </c>
      <c r="J19" s="15">
        <f t="shared" si="9"/>
        <v>-1218.92</v>
      </c>
      <c r="K19" s="15">
        <f t="shared" si="9"/>
        <v>-1218.92</v>
      </c>
      <c r="L19" s="15">
        <f t="shared" si="9"/>
        <v>-1246.92</v>
      </c>
      <c r="M19" s="15">
        <f t="shared" si="9"/>
        <v>-1246.92</v>
      </c>
      <c r="N19" s="15">
        <f t="shared" si="9"/>
        <v>-1246.92</v>
      </c>
      <c r="O19" s="15">
        <f t="shared" si="9"/>
        <v>-1246.92</v>
      </c>
      <c r="P19" s="15">
        <f t="shared" si="9"/>
        <v>-1246.92</v>
      </c>
      <c r="Q19" s="15">
        <f t="shared" si="9"/>
        <v>-1246.92</v>
      </c>
      <c r="S19" s="15">
        <f t="shared" si="1"/>
        <v>-14687.28</v>
      </c>
    </row>
    <row r="20" spans="1:19" ht="15" thickTop="1" x14ac:dyDescent="0.3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S20" s="12"/>
    </row>
    <row r="21" spans="1:19" ht="15" thickBot="1" x14ac:dyDescent="0.35">
      <c r="A21" s="14" t="s">
        <v>64</v>
      </c>
      <c r="F21" s="15">
        <f>F11+F19</f>
        <v>-38</v>
      </c>
      <c r="G21" s="15">
        <f t="shared" ref="G21:Q21" si="10">G11+G19</f>
        <v>-78</v>
      </c>
      <c r="H21" s="15">
        <f t="shared" si="10"/>
        <v>11.025000000000091</v>
      </c>
      <c r="I21" s="15">
        <f t="shared" si="10"/>
        <v>147.15487499999995</v>
      </c>
      <c r="J21" s="15">
        <f t="shared" si="10"/>
        <v>381.2295006249999</v>
      </c>
      <c r="K21" s="15">
        <f t="shared" si="10"/>
        <v>210.3287531218748</v>
      </c>
      <c r="L21" s="15">
        <f t="shared" si="10"/>
        <v>36.452509356265637</v>
      </c>
      <c r="M21" s="15">
        <f t="shared" si="10"/>
        <v>0.6006468094842603</v>
      </c>
      <c r="N21" s="15">
        <f t="shared" si="10"/>
        <v>71.773043575436759</v>
      </c>
      <c r="O21" s="15">
        <f t="shared" si="10"/>
        <v>54.969578357559612</v>
      </c>
      <c r="P21" s="15">
        <f t="shared" si="10"/>
        <v>25.190130465771745</v>
      </c>
      <c r="Q21" s="15">
        <f t="shared" si="10"/>
        <v>180.43457981344295</v>
      </c>
      <c r="S21" s="15">
        <f t="shared" si="1"/>
        <v>1003.1586171248357</v>
      </c>
    </row>
    <row r="22" spans="1:19" ht="15" thickTop="1" x14ac:dyDescent="0.3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4" spans="1:19" x14ac:dyDescent="0.3"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9" x14ac:dyDescent="0.3">
      <c r="A25" s="14" t="s">
        <v>77</v>
      </c>
      <c r="C25" t="s">
        <v>52</v>
      </c>
      <c r="D25" t="s">
        <v>53</v>
      </c>
      <c r="F25" s="8">
        <v>45688</v>
      </c>
      <c r="G25" s="8">
        <v>45716</v>
      </c>
      <c r="H25" s="8">
        <v>45747</v>
      </c>
      <c r="I25" s="8">
        <v>45777</v>
      </c>
      <c r="J25" s="8">
        <v>45808</v>
      </c>
      <c r="K25" s="8">
        <v>45838</v>
      </c>
      <c r="L25" s="8">
        <v>45869</v>
      </c>
      <c r="M25" s="8">
        <v>45900</v>
      </c>
      <c r="N25" s="8">
        <v>45930</v>
      </c>
      <c r="O25" s="8">
        <v>45961</v>
      </c>
      <c r="P25" s="8">
        <v>45991</v>
      </c>
      <c r="Q25" s="8">
        <v>46022</v>
      </c>
      <c r="S25" s="8" t="s">
        <v>32</v>
      </c>
    </row>
    <row r="26" spans="1:19" x14ac:dyDescent="0.3"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9" x14ac:dyDescent="0.3">
      <c r="A27" s="14" t="s">
        <v>64</v>
      </c>
      <c r="F27" s="12">
        <f>F21</f>
        <v>-38</v>
      </c>
      <c r="G27" s="12">
        <f t="shared" ref="G27:Q27" si="11">G21</f>
        <v>-78</v>
      </c>
      <c r="H27" s="12">
        <f t="shared" si="11"/>
        <v>11.025000000000091</v>
      </c>
      <c r="I27" s="12">
        <f t="shared" si="11"/>
        <v>147.15487499999995</v>
      </c>
      <c r="J27" s="12">
        <f t="shared" si="11"/>
        <v>381.2295006249999</v>
      </c>
      <c r="K27" s="12">
        <f t="shared" si="11"/>
        <v>210.3287531218748</v>
      </c>
      <c r="L27" s="12">
        <f t="shared" si="11"/>
        <v>36.452509356265637</v>
      </c>
      <c r="M27" s="12">
        <f t="shared" si="11"/>
        <v>0.6006468094842603</v>
      </c>
      <c r="N27" s="12">
        <f t="shared" si="11"/>
        <v>71.773043575436759</v>
      </c>
      <c r="O27" s="12">
        <f t="shared" si="11"/>
        <v>54.969578357559612</v>
      </c>
      <c r="P27" s="12">
        <f t="shared" si="11"/>
        <v>25.190130465771745</v>
      </c>
      <c r="Q27" s="12">
        <f t="shared" si="11"/>
        <v>180.43457981344295</v>
      </c>
      <c r="S27" s="12">
        <f t="shared" ref="S27:S38" si="12">SUM(F27:Q27)</f>
        <v>1003.1586171248357</v>
      </c>
    </row>
    <row r="28" spans="1:19" x14ac:dyDescent="0.3"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9" x14ac:dyDescent="0.3">
      <c r="A29" s="14" t="s">
        <v>83</v>
      </c>
      <c r="B29" t="s">
        <v>84</v>
      </c>
      <c r="C29" t="s">
        <v>85</v>
      </c>
      <c r="F29" s="12">
        <f>-F9</f>
        <v>0</v>
      </c>
      <c r="G29" s="12">
        <f t="shared" ref="G29:Q29" si="13">-G9</f>
        <v>0</v>
      </c>
      <c r="H29" s="12">
        <f t="shared" si="13"/>
        <v>0</v>
      </c>
      <c r="I29" s="12">
        <f t="shared" si="13"/>
        <v>-185</v>
      </c>
      <c r="J29" s="12">
        <f t="shared" si="13"/>
        <v>-185</v>
      </c>
      <c r="K29" s="12">
        <f t="shared" si="13"/>
        <v>-185</v>
      </c>
      <c r="L29" s="12">
        <f t="shared" si="13"/>
        <v>-185</v>
      </c>
      <c r="M29" s="12">
        <f t="shared" si="13"/>
        <v>-185</v>
      </c>
      <c r="N29" s="12">
        <f t="shared" si="13"/>
        <v>-185</v>
      </c>
      <c r="O29" s="12">
        <f t="shared" si="13"/>
        <v>-185</v>
      </c>
      <c r="P29" s="12">
        <f t="shared" si="13"/>
        <v>-185</v>
      </c>
      <c r="Q29" s="12">
        <f t="shared" si="13"/>
        <v>-185</v>
      </c>
      <c r="S29" s="12">
        <f t="shared" si="12"/>
        <v>-1665</v>
      </c>
    </row>
    <row r="30" spans="1:19" x14ac:dyDescent="0.3">
      <c r="C30" t="s">
        <v>87</v>
      </c>
      <c r="D30">
        <v>3</v>
      </c>
      <c r="F30" s="12">
        <f>F29</f>
        <v>0</v>
      </c>
      <c r="G30" s="12">
        <f t="shared" ref="G30:H30" si="14">G29</f>
        <v>0</v>
      </c>
      <c r="H30" s="12">
        <f t="shared" si="14"/>
        <v>0</v>
      </c>
      <c r="I30" s="12">
        <f t="shared" ref="I30:K30" si="15">-F29</f>
        <v>0</v>
      </c>
      <c r="J30" s="12">
        <f t="shared" si="15"/>
        <v>0</v>
      </c>
      <c r="K30" s="12">
        <f t="shared" si="15"/>
        <v>0</v>
      </c>
      <c r="L30" s="12">
        <f>-I29</f>
        <v>185</v>
      </c>
      <c r="M30" s="12">
        <f t="shared" ref="M30:Q30" si="16">-J29</f>
        <v>185</v>
      </c>
      <c r="N30" s="12">
        <f t="shared" si="16"/>
        <v>185</v>
      </c>
      <c r="O30" s="12">
        <f t="shared" si="16"/>
        <v>185</v>
      </c>
      <c r="P30" s="12">
        <f t="shared" si="16"/>
        <v>185</v>
      </c>
      <c r="Q30" s="12">
        <f t="shared" si="16"/>
        <v>185</v>
      </c>
      <c r="S30" s="12">
        <f t="shared" si="12"/>
        <v>1110</v>
      </c>
    </row>
    <row r="31" spans="1:19" x14ac:dyDescent="0.3"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9" x14ac:dyDescent="0.3">
      <c r="A32" s="14" t="s">
        <v>13</v>
      </c>
      <c r="B32" t="s">
        <v>78</v>
      </c>
      <c r="F32" s="12">
        <f>-F17</f>
        <v>50</v>
      </c>
      <c r="G32" s="12">
        <f t="shared" ref="G32:Q32" si="17">-G17</f>
        <v>50</v>
      </c>
      <c r="H32" s="12">
        <f t="shared" si="17"/>
        <v>50</v>
      </c>
      <c r="I32" s="12">
        <f t="shared" si="17"/>
        <v>50</v>
      </c>
      <c r="J32" s="12">
        <f t="shared" si="17"/>
        <v>50</v>
      </c>
      <c r="K32" s="12">
        <f t="shared" si="17"/>
        <v>50</v>
      </c>
      <c r="L32" s="12">
        <f t="shared" si="17"/>
        <v>78</v>
      </c>
      <c r="M32" s="12">
        <f t="shared" si="17"/>
        <v>78</v>
      </c>
      <c r="N32" s="12">
        <f t="shared" si="17"/>
        <v>78</v>
      </c>
      <c r="O32" s="12">
        <f t="shared" si="17"/>
        <v>78</v>
      </c>
      <c r="P32" s="12">
        <f t="shared" si="17"/>
        <v>78</v>
      </c>
      <c r="Q32" s="12">
        <f t="shared" si="17"/>
        <v>78</v>
      </c>
      <c r="S32" s="12">
        <f t="shared" si="12"/>
        <v>768</v>
      </c>
    </row>
    <row r="33" spans="1:19" x14ac:dyDescent="0.3">
      <c r="B33" t="s">
        <v>13</v>
      </c>
      <c r="C33" t="s">
        <v>79</v>
      </c>
      <c r="F33" s="12">
        <v>-500</v>
      </c>
      <c r="G33" s="12">
        <v>-500</v>
      </c>
      <c r="H33" s="12">
        <v>-500</v>
      </c>
      <c r="I33" s="12">
        <v>-500</v>
      </c>
      <c r="J33" s="12">
        <v>-500</v>
      </c>
      <c r="K33" s="12">
        <v>-500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S33" s="12">
        <f t="shared" si="12"/>
        <v>-3000</v>
      </c>
    </row>
    <row r="34" spans="1:19" x14ac:dyDescent="0.3">
      <c r="C34" t="s">
        <v>80</v>
      </c>
      <c r="F34" s="12">
        <v>-30</v>
      </c>
      <c r="G34" s="12">
        <v>0</v>
      </c>
      <c r="H34" s="12">
        <v>0</v>
      </c>
      <c r="I34" s="12">
        <v>-30</v>
      </c>
      <c r="J34" s="12">
        <v>0</v>
      </c>
      <c r="K34" s="12">
        <v>-150</v>
      </c>
      <c r="L34" s="12">
        <v>-150</v>
      </c>
      <c r="M34" s="12">
        <v>0</v>
      </c>
      <c r="N34" s="12">
        <v>0</v>
      </c>
      <c r="O34" s="12">
        <v>-30</v>
      </c>
      <c r="P34" s="12">
        <v>0</v>
      </c>
      <c r="Q34" s="12">
        <v>0</v>
      </c>
      <c r="S34" s="12">
        <f t="shared" si="12"/>
        <v>-390</v>
      </c>
    </row>
    <row r="35" spans="1:19" x14ac:dyDescent="0.3"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S35" s="12"/>
    </row>
    <row r="36" spans="1:19" x14ac:dyDescent="0.3">
      <c r="A36" s="14" t="s">
        <v>50</v>
      </c>
      <c r="B36" t="s">
        <v>50</v>
      </c>
      <c r="C36" t="s">
        <v>81</v>
      </c>
      <c r="D36">
        <v>40</v>
      </c>
      <c r="F36" s="12">
        <v>80</v>
      </c>
      <c r="G36" s="12">
        <v>-140</v>
      </c>
      <c r="H36" s="12">
        <v>-140</v>
      </c>
      <c r="I36" s="12">
        <v>280</v>
      </c>
      <c r="J36" s="12">
        <v>-140</v>
      </c>
      <c r="K36" s="12">
        <v>-140</v>
      </c>
      <c r="L36" s="12">
        <v>280</v>
      </c>
      <c r="M36" s="12">
        <v>-40</v>
      </c>
      <c r="N36" s="12">
        <v>-40</v>
      </c>
      <c r="O36" s="12">
        <v>80</v>
      </c>
      <c r="P36" s="12">
        <v>-40</v>
      </c>
      <c r="Q36" s="12">
        <v>-40</v>
      </c>
      <c r="S36" s="12">
        <f t="shared" si="12"/>
        <v>0</v>
      </c>
    </row>
    <row r="37" spans="1:19" x14ac:dyDescent="0.3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9" x14ac:dyDescent="0.3">
      <c r="A38" s="14" t="s">
        <v>82</v>
      </c>
      <c r="F38" s="12">
        <f>SUM(F27:F36)</f>
        <v>-438</v>
      </c>
      <c r="G38" s="12">
        <f t="shared" ref="G38:Q38" si="18">SUM(G27:G36)</f>
        <v>-668</v>
      </c>
      <c r="H38" s="12">
        <f t="shared" si="18"/>
        <v>-578.97499999999991</v>
      </c>
      <c r="I38" s="12">
        <f t="shared" si="18"/>
        <v>-237.84512500000005</v>
      </c>
      <c r="J38" s="12">
        <f t="shared" si="18"/>
        <v>-393.7704993750001</v>
      </c>
      <c r="K38" s="12">
        <f t="shared" si="18"/>
        <v>-714.6712468781252</v>
      </c>
      <c r="L38" s="12">
        <f t="shared" si="18"/>
        <v>244.45250935626564</v>
      </c>
      <c r="M38" s="12">
        <f t="shared" si="18"/>
        <v>38.60064680948426</v>
      </c>
      <c r="N38" s="12">
        <f t="shared" si="18"/>
        <v>109.77304357543676</v>
      </c>
      <c r="O38" s="12">
        <f t="shared" si="18"/>
        <v>182.96957835755961</v>
      </c>
      <c r="P38" s="12">
        <f t="shared" si="18"/>
        <v>63.190130465771745</v>
      </c>
      <c r="Q38" s="12">
        <f t="shared" si="18"/>
        <v>218.43457981344295</v>
      </c>
      <c r="S38" s="12">
        <f t="shared" si="12"/>
        <v>-2173.8413828751636</v>
      </c>
    </row>
    <row r="39" spans="1:19" x14ac:dyDescent="0.3">
      <c r="A39" s="14" t="s">
        <v>16</v>
      </c>
      <c r="F39" s="12">
        <v>2147</v>
      </c>
      <c r="G39" s="12">
        <f>F40</f>
        <v>1709</v>
      </c>
      <c r="H39" s="12">
        <f t="shared" ref="H39:Q39" si="19">G40</f>
        <v>1041</v>
      </c>
      <c r="I39" s="12">
        <f t="shared" si="19"/>
        <v>462.02500000000009</v>
      </c>
      <c r="J39" s="12">
        <f t="shared" si="19"/>
        <v>224.17987500000004</v>
      </c>
      <c r="K39" s="12">
        <f t="shared" si="19"/>
        <v>-169.59062437500006</v>
      </c>
      <c r="L39" s="12">
        <f t="shared" si="19"/>
        <v>-884.26187125312526</v>
      </c>
      <c r="M39" s="12">
        <f t="shared" si="19"/>
        <v>-639.80936189685963</v>
      </c>
      <c r="N39" s="12">
        <f t="shared" si="19"/>
        <v>-601.20871508737537</v>
      </c>
      <c r="O39" s="12">
        <f t="shared" si="19"/>
        <v>-491.43567151193861</v>
      </c>
      <c r="P39" s="12">
        <f t="shared" si="19"/>
        <v>-308.466093154379</v>
      </c>
      <c r="Q39" s="12">
        <f t="shared" si="19"/>
        <v>-245.27596268860725</v>
      </c>
    </row>
    <row r="40" spans="1:19" ht="15" thickBot="1" x14ac:dyDescent="0.35">
      <c r="A40" s="14" t="s">
        <v>17</v>
      </c>
      <c r="F40" s="15">
        <f>SUM(F38:F39)</f>
        <v>1709</v>
      </c>
      <c r="G40" s="15">
        <f t="shared" ref="G40:Q40" si="20">SUM(G38:G39)</f>
        <v>1041</v>
      </c>
      <c r="H40" s="15">
        <f t="shared" si="20"/>
        <v>462.02500000000009</v>
      </c>
      <c r="I40" s="15">
        <f t="shared" si="20"/>
        <v>224.17987500000004</v>
      </c>
      <c r="J40" s="15">
        <f t="shared" si="20"/>
        <v>-169.59062437500006</v>
      </c>
      <c r="K40" s="15">
        <f t="shared" si="20"/>
        <v>-884.26187125312526</v>
      </c>
      <c r="L40" s="15">
        <f t="shared" si="20"/>
        <v>-639.80936189685963</v>
      </c>
      <c r="M40" s="15">
        <f t="shared" si="20"/>
        <v>-601.20871508737537</v>
      </c>
      <c r="N40" s="15">
        <f t="shared" si="20"/>
        <v>-491.43567151193861</v>
      </c>
      <c r="O40" s="15">
        <f t="shared" si="20"/>
        <v>-308.466093154379</v>
      </c>
      <c r="P40" s="15">
        <f t="shared" si="20"/>
        <v>-245.27596268860725</v>
      </c>
      <c r="Q40" s="15">
        <f t="shared" si="20"/>
        <v>-26.8413828751643</v>
      </c>
    </row>
    <row r="41" spans="1:19" ht="15" thickTop="1" x14ac:dyDescent="0.3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9" x14ac:dyDescent="0.3">
      <c r="A42" s="14" t="s">
        <v>86</v>
      </c>
      <c r="F42" s="12">
        <v>250</v>
      </c>
      <c r="G42" s="12">
        <v>250</v>
      </c>
      <c r="H42" s="12">
        <v>250</v>
      </c>
      <c r="I42" s="12">
        <v>250</v>
      </c>
      <c r="J42" s="12">
        <v>250</v>
      </c>
      <c r="K42" s="12">
        <v>250</v>
      </c>
      <c r="L42" s="12">
        <v>250</v>
      </c>
      <c r="M42" s="12">
        <v>250</v>
      </c>
      <c r="N42" s="12">
        <v>250</v>
      </c>
      <c r="O42" s="12">
        <v>250</v>
      </c>
      <c r="P42" s="12">
        <v>250</v>
      </c>
      <c r="Q42" s="12">
        <v>250</v>
      </c>
    </row>
    <row r="43" spans="1:19" x14ac:dyDescent="0.3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9" x14ac:dyDescent="0.3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3FA1-C8BD-4651-B302-EBBD5C596D63}">
  <dimension ref="A1:P17"/>
  <sheetViews>
    <sheetView workbookViewId="0">
      <selection activeCell="F23" sqref="F23"/>
    </sheetView>
  </sheetViews>
  <sheetFormatPr defaultRowHeight="14.4" x14ac:dyDescent="0.3"/>
  <sheetData>
    <row r="1" spans="1:16" ht="25.8" x14ac:dyDescent="0.5">
      <c r="A1" s="9" t="s">
        <v>72</v>
      </c>
    </row>
    <row r="3" spans="1:16" x14ac:dyDescent="0.3">
      <c r="D3" t="s">
        <v>56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K3" t="s">
        <v>7</v>
      </c>
      <c r="L3" t="s">
        <v>8</v>
      </c>
      <c r="M3" t="s">
        <v>9</v>
      </c>
      <c r="N3" t="s">
        <v>10</v>
      </c>
      <c r="O3" t="s">
        <v>11</v>
      </c>
      <c r="P3" t="s">
        <v>32</v>
      </c>
    </row>
    <row r="4" spans="1:16" x14ac:dyDescent="0.3">
      <c r="B4">
        <v>2024</v>
      </c>
      <c r="C4" t="s">
        <v>34</v>
      </c>
      <c r="D4" s="12">
        <v>149</v>
      </c>
      <c r="E4" s="12">
        <v>110</v>
      </c>
      <c r="F4" s="12">
        <v>175</v>
      </c>
      <c r="G4" s="12">
        <v>190</v>
      </c>
      <c r="H4" s="12">
        <v>182</v>
      </c>
      <c r="I4" s="12">
        <v>140</v>
      </c>
      <c r="J4" s="12">
        <v>131</v>
      </c>
      <c r="K4" s="12">
        <v>95</v>
      </c>
      <c r="L4" s="12">
        <v>145</v>
      </c>
      <c r="M4" s="12">
        <v>155</v>
      </c>
      <c r="N4" s="12">
        <v>138</v>
      </c>
      <c r="O4" s="12">
        <v>173</v>
      </c>
      <c r="P4" s="12">
        <f>SUM(D4:O4)</f>
        <v>1783</v>
      </c>
    </row>
    <row r="5" spans="1:16" x14ac:dyDescent="0.3">
      <c r="B5">
        <v>2023</v>
      </c>
      <c r="C5" t="s">
        <v>34</v>
      </c>
      <c r="D5" s="12">
        <v>126</v>
      </c>
      <c r="E5" s="12">
        <v>99</v>
      </c>
      <c r="F5" s="12">
        <v>164</v>
      </c>
      <c r="G5" s="12">
        <v>181</v>
      </c>
      <c r="H5" s="12">
        <v>169</v>
      </c>
      <c r="I5" s="12">
        <v>133</v>
      </c>
      <c r="J5" s="12">
        <v>111</v>
      </c>
      <c r="K5" s="12">
        <v>88</v>
      </c>
      <c r="L5" s="12">
        <v>135</v>
      </c>
      <c r="M5" s="12">
        <v>149</v>
      </c>
      <c r="N5" s="12">
        <v>120</v>
      </c>
      <c r="O5" s="12">
        <v>152</v>
      </c>
      <c r="P5" s="12">
        <f>SUM(D5:O5)</f>
        <v>1627</v>
      </c>
    </row>
    <row r="7" spans="1:16" x14ac:dyDescent="0.3">
      <c r="B7">
        <v>2024</v>
      </c>
      <c r="C7" t="s">
        <v>58</v>
      </c>
      <c r="D7" s="13">
        <f>D4/$P4</f>
        <v>8.3567021873247341E-2</v>
      </c>
      <c r="E7" s="13">
        <f t="shared" ref="E7:P7" si="0">E4/$P4</f>
        <v>6.1693774537296693E-2</v>
      </c>
      <c r="F7" s="13">
        <f t="shared" si="0"/>
        <v>9.8149186763881097E-2</v>
      </c>
      <c r="G7" s="13">
        <f t="shared" si="0"/>
        <v>0.1065619742007852</v>
      </c>
      <c r="H7" s="13">
        <f t="shared" si="0"/>
        <v>0.10207515423443635</v>
      </c>
      <c r="I7" s="13">
        <f t="shared" si="0"/>
        <v>7.8519349411104875E-2</v>
      </c>
      <c r="J7" s="13">
        <f t="shared" si="0"/>
        <v>7.3471676948962422E-2</v>
      </c>
      <c r="K7" s="13">
        <f t="shared" si="0"/>
        <v>5.3280987100392599E-2</v>
      </c>
      <c r="L7" s="13">
        <f t="shared" si="0"/>
        <v>8.1323611890072908E-2</v>
      </c>
      <c r="M7" s="13">
        <f t="shared" si="0"/>
        <v>8.6932136848008976E-2</v>
      </c>
      <c r="N7" s="13">
        <f t="shared" si="0"/>
        <v>7.7397644419517672E-2</v>
      </c>
      <c r="O7" s="13">
        <f t="shared" si="0"/>
        <v>9.702748177229388E-2</v>
      </c>
      <c r="P7" s="13">
        <f t="shared" si="0"/>
        <v>1</v>
      </c>
    </row>
    <row r="8" spans="1:16" x14ac:dyDescent="0.3">
      <c r="B8">
        <v>2023</v>
      </c>
      <c r="C8" t="s">
        <v>58</v>
      </c>
      <c r="D8" s="13">
        <f>D5/$P5</f>
        <v>7.7443146896127843E-2</v>
      </c>
      <c r="E8" s="13">
        <f t="shared" ref="E8:P8" si="1">E5/$P5</f>
        <v>6.0848186846957593E-2</v>
      </c>
      <c r="F8" s="13">
        <f t="shared" si="1"/>
        <v>0.10079901659496004</v>
      </c>
      <c r="G8" s="13">
        <f t="shared" si="1"/>
        <v>0.11124769514443761</v>
      </c>
      <c r="H8" s="13">
        <f t="shared" si="1"/>
        <v>0.1038721573448064</v>
      </c>
      <c r="I8" s="13">
        <f t="shared" si="1"/>
        <v>8.1745543945912727E-2</v>
      </c>
      <c r="J8" s="13">
        <f t="shared" si="1"/>
        <v>6.822372464658881E-2</v>
      </c>
      <c r="K8" s="13">
        <f t="shared" si="1"/>
        <v>5.4087277197295634E-2</v>
      </c>
      <c r="L8" s="13">
        <f t="shared" si="1"/>
        <v>8.2974800245851257E-2</v>
      </c>
      <c r="M8" s="13">
        <f t="shared" si="1"/>
        <v>9.1579594345421025E-2</v>
      </c>
      <c r="N8" s="13">
        <f t="shared" si="1"/>
        <v>7.3755377996312238E-2</v>
      </c>
      <c r="O8" s="13">
        <f t="shared" si="1"/>
        <v>9.3423478795328821E-2</v>
      </c>
      <c r="P8" s="13">
        <f t="shared" si="1"/>
        <v>1</v>
      </c>
    </row>
    <row r="10" spans="1:16" x14ac:dyDescent="0.3">
      <c r="B10" t="s">
        <v>57</v>
      </c>
      <c r="C10" t="s">
        <v>58</v>
      </c>
      <c r="D10" s="11">
        <f>AVERAGE(D7:D8)</f>
        <v>8.0505084384687592E-2</v>
      </c>
      <c r="E10" s="11">
        <f t="shared" ref="E10:P10" si="2">AVERAGE(E7:E8)</f>
        <v>6.1270980692127143E-2</v>
      </c>
      <c r="F10" s="11">
        <f t="shared" si="2"/>
        <v>9.9474101679420571E-2</v>
      </c>
      <c r="G10" s="11">
        <f t="shared" si="2"/>
        <v>0.1089048346726114</v>
      </c>
      <c r="H10" s="11">
        <f t="shared" si="2"/>
        <v>0.10297365578962137</v>
      </c>
      <c r="I10" s="11">
        <f t="shared" si="2"/>
        <v>8.0132446678508801E-2</v>
      </c>
      <c r="J10" s="11">
        <f t="shared" si="2"/>
        <v>7.0847700797775609E-2</v>
      </c>
      <c r="K10" s="11">
        <f t="shared" si="2"/>
        <v>5.3684132148844113E-2</v>
      </c>
      <c r="L10" s="11">
        <f t="shared" si="2"/>
        <v>8.2149206067962083E-2</v>
      </c>
      <c r="M10" s="11">
        <f t="shared" si="2"/>
        <v>8.9255865596715001E-2</v>
      </c>
      <c r="N10" s="11">
        <f t="shared" si="2"/>
        <v>7.5576511207914948E-2</v>
      </c>
      <c r="O10" s="11">
        <f t="shared" si="2"/>
        <v>9.5225480283811351E-2</v>
      </c>
      <c r="P10" s="11">
        <f t="shared" si="2"/>
        <v>1</v>
      </c>
    </row>
    <row r="14" spans="1:16" ht="25.8" x14ac:dyDescent="0.5">
      <c r="A14" s="9" t="s">
        <v>73</v>
      </c>
    </row>
    <row r="16" spans="1:16" x14ac:dyDescent="0.3">
      <c r="B16" t="s">
        <v>60</v>
      </c>
      <c r="D16">
        <v>1</v>
      </c>
      <c r="E16">
        <f>D16+1</f>
        <v>2</v>
      </c>
      <c r="F16">
        <f t="shared" ref="F16:O16" si="3">E16+1</f>
        <v>3</v>
      </c>
      <c r="G16">
        <f t="shared" si="3"/>
        <v>4</v>
      </c>
      <c r="H16">
        <f t="shared" si="3"/>
        <v>5</v>
      </c>
      <c r="I16">
        <f t="shared" si="3"/>
        <v>6</v>
      </c>
      <c r="J16">
        <f t="shared" si="3"/>
        <v>7</v>
      </c>
      <c r="K16">
        <f t="shared" si="3"/>
        <v>8</v>
      </c>
      <c r="L16">
        <f t="shared" si="3"/>
        <v>9</v>
      </c>
      <c r="M16">
        <f t="shared" si="3"/>
        <v>10</v>
      </c>
      <c r="N16">
        <f t="shared" si="3"/>
        <v>11</v>
      </c>
      <c r="O16">
        <f t="shared" si="3"/>
        <v>12</v>
      </c>
    </row>
    <row r="17" spans="2:15" x14ac:dyDescent="0.3">
      <c r="B17" t="s">
        <v>61</v>
      </c>
      <c r="C17">
        <v>3</v>
      </c>
      <c r="D17">
        <f>MOD(D16,$C$17)</f>
        <v>1</v>
      </c>
      <c r="E17">
        <f t="shared" ref="E17:O17" si="4">MOD(E16,$C$17)</f>
        <v>2</v>
      </c>
      <c r="F17">
        <f t="shared" si="4"/>
        <v>0</v>
      </c>
      <c r="G17">
        <f t="shared" si="4"/>
        <v>1</v>
      </c>
      <c r="H17">
        <f t="shared" si="4"/>
        <v>2</v>
      </c>
      <c r="I17">
        <f t="shared" si="4"/>
        <v>0</v>
      </c>
      <c r="J17">
        <f t="shared" si="4"/>
        <v>1</v>
      </c>
      <c r="K17">
        <f t="shared" si="4"/>
        <v>2</v>
      </c>
      <c r="L17">
        <f t="shared" si="4"/>
        <v>0</v>
      </c>
      <c r="M17">
        <f t="shared" si="4"/>
        <v>1</v>
      </c>
      <c r="N17">
        <f t="shared" si="4"/>
        <v>2</v>
      </c>
      <c r="O17">
        <f t="shared" si="4"/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7A43-7FBE-452B-B697-3C18DDD228F0}">
  <dimension ref="B3:Q30"/>
  <sheetViews>
    <sheetView zoomScaleNormal="100" workbookViewId="0">
      <selection activeCell="S37" sqref="S37"/>
    </sheetView>
  </sheetViews>
  <sheetFormatPr defaultRowHeight="14.4" x14ac:dyDescent="0.3"/>
  <cols>
    <col min="1" max="1" width="8.88671875" style="12"/>
    <col min="2" max="2" width="16.33203125" style="16" customWidth="1"/>
    <col min="3" max="6" width="10.33203125" style="12" bestFit="1" customWidth="1"/>
    <col min="7" max="16384" width="8.88671875" style="12"/>
  </cols>
  <sheetData>
    <row r="3" spans="2:15" s="17" customFormat="1" x14ac:dyDescent="0.3">
      <c r="D3" s="17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</row>
    <row r="5" spans="2:15" x14ac:dyDescent="0.3">
      <c r="B5" s="16" t="s">
        <v>14</v>
      </c>
      <c r="D5" s="12">
        <v>1017</v>
      </c>
      <c r="E5" s="12">
        <v>1103</v>
      </c>
      <c r="F5" s="12">
        <v>1234</v>
      </c>
      <c r="G5" s="12">
        <v>965</v>
      </c>
      <c r="H5" s="12">
        <v>1027</v>
      </c>
      <c r="I5" s="12">
        <v>988</v>
      </c>
      <c r="J5" s="12">
        <v>854</v>
      </c>
      <c r="K5" s="12">
        <v>1055</v>
      </c>
      <c r="L5" s="12">
        <v>1101</v>
      </c>
      <c r="M5" s="12">
        <v>964</v>
      </c>
      <c r="N5" s="12">
        <v>865</v>
      </c>
      <c r="O5" s="12">
        <v>1285</v>
      </c>
    </row>
    <row r="7" spans="2:15" x14ac:dyDescent="0.3">
      <c r="B7" s="16" t="s">
        <v>15</v>
      </c>
      <c r="C7" s="12" t="s">
        <v>12</v>
      </c>
      <c r="D7" s="12">
        <v>-730</v>
      </c>
      <c r="E7" s="12">
        <v>-812</v>
      </c>
      <c r="F7" s="12">
        <v>-1205</v>
      </c>
      <c r="G7" s="12">
        <v>-903</v>
      </c>
      <c r="H7" s="12">
        <v>-812</v>
      </c>
      <c r="I7" s="12">
        <v>-1311</v>
      </c>
      <c r="J7" s="12">
        <v>-853</v>
      </c>
      <c r="K7" s="12">
        <v>-822</v>
      </c>
      <c r="L7" s="12">
        <v>-1205</v>
      </c>
      <c r="M7" s="12">
        <v>-923</v>
      </c>
      <c r="N7" s="12">
        <v>-851</v>
      </c>
      <c r="O7" s="12">
        <v>-1107</v>
      </c>
    </row>
    <row r="8" spans="2:15" x14ac:dyDescent="0.3">
      <c r="C8" s="12" t="s">
        <v>13</v>
      </c>
      <c r="D8" s="12">
        <v>0</v>
      </c>
      <c r="E8" s="12">
        <v>-56</v>
      </c>
      <c r="F8" s="12">
        <v>0</v>
      </c>
      <c r="G8" s="12">
        <v>-245</v>
      </c>
      <c r="H8" s="12">
        <v>0</v>
      </c>
      <c r="I8" s="12">
        <v>-67</v>
      </c>
      <c r="J8" s="12">
        <v>0</v>
      </c>
      <c r="K8" s="12">
        <v>-488</v>
      </c>
      <c r="L8" s="12">
        <v>-24</v>
      </c>
      <c r="M8" s="12">
        <v>-67</v>
      </c>
      <c r="N8" s="12">
        <v>-94</v>
      </c>
      <c r="O8" s="12">
        <v>0</v>
      </c>
    </row>
    <row r="9" spans="2:15" ht="15" thickBot="1" x14ac:dyDescent="0.35">
      <c r="C9" s="12" t="s">
        <v>32</v>
      </c>
      <c r="D9" s="15">
        <f>SUM(D7:D8)</f>
        <v>-730</v>
      </c>
      <c r="E9" s="15">
        <f t="shared" ref="E9:O9" si="0">SUM(E7:E8)</f>
        <v>-868</v>
      </c>
      <c r="F9" s="15">
        <f t="shared" si="0"/>
        <v>-1205</v>
      </c>
      <c r="G9" s="15">
        <f t="shared" si="0"/>
        <v>-1148</v>
      </c>
      <c r="H9" s="15">
        <f t="shared" si="0"/>
        <v>-812</v>
      </c>
      <c r="I9" s="15">
        <f t="shared" si="0"/>
        <v>-1378</v>
      </c>
      <c r="J9" s="15">
        <f t="shared" si="0"/>
        <v>-853</v>
      </c>
      <c r="K9" s="15">
        <f t="shared" si="0"/>
        <v>-1310</v>
      </c>
      <c r="L9" s="15">
        <f t="shared" si="0"/>
        <v>-1229</v>
      </c>
      <c r="M9" s="15">
        <f t="shared" si="0"/>
        <v>-990</v>
      </c>
      <c r="N9" s="15">
        <f t="shared" si="0"/>
        <v>-945</v>
      </c>
      <c r="O9" s="15">
        <f t="shared" si="0"/>
        <v>-1107</v>
      </c>
    </row>
    <row r="10" spans="2:15" ht="15" thickTop="1" x14ac:dyDescent="0.3"/>
    <row r="11" spans="2:15" x14ac:dyDescent="0.3">
      <c r="B11" s="16" t="s">
        <v>88</v>
      </c>
      <c r="C11" s="12" t="s">
        <v>89</v>
      </c>
      <c r="D11" s="12">
        <v>1066</v>
      </c>
      <c r="E11" s="12">
        <f t="shared" ref="E11:O11" si="1">D14</f>
        <v>1353</v>
      </c>
      <c r="F11" s="12">
        <f t="shared" si="1"/>
        <v>1588</v>
      </c>
      <c r="G11" s="12">
        <f t="shared" si="1"/>
        <v>1617</v>
      </c>
      <c r="H11" s="12">
        <f t="shared" si="1"/>
        <v>1434</v>
      </c>
      <c r="I11" s="12">
        <f t="shared" si="1"/>
        <v>1649</v>
      </c>
      <c r="J11" s="12">
        <f t="shared" si="1"/>
        <v>1259</v>
      </c>
      <c r="K11" s="12">
        <f t="shared" si="1"/>
        <v>1260</v>
      </c>
      <c r="L11" s="12">
        <f t="shared" si="1"/>
        <v>1005</v>
      </c>
      <c r="M11" s="12">
        <f t="shared" si="1"/>
        <v>877</v>
      </c>
      <c r="N11" s="12">
        <f t="shared" si="1"/>
        <v>851</v>
      </c>
      <c r="O11" s="12">
        <f t="shared" si="1"/>
        <v>771</v>
      </c>
    </row>
    <row r="12" spans="2:15" x14ac:dyDescent="0.3">
      <c r="C12" s="12" t="s">
        <v>14</v>
      </c>
      <c r="D12" s="12">
        <f t="shared" ref="D12:O12" si="2">D5</f>
        <v>1017</v>
      </c>
      <c r="E12" s="12">
        <f t="shared" si="2"/>
        <v>1103</v>
      </c>
      <c r="F12" s="12">
        <f t="shared" si="2"/>
        <v>1234</v>
      </c>
      <c r="G12" s="12">
        <f t="shared" si="2"/>
        <v>965</v>
      </c>
      <c r="H12" s="12">
        <f t="shared" si="2"/>
        <v>1027</v>
      </c>
      <c r="I12" s="12">
        <f t="shared" si="2"/>
        <v>988</v>
      </c>
      <c r="J12" s="12">
        <f t="shared" si="2"/>
        <v>854</v>
      </c>
      <c r="K12" s="12">
        <f t="shared" si="2"/>
        <v>1055</v>
      </c>
      <c r="L12" s="12">
        <f t="shared" si="2"/>
        <v>1101</v>
      </c>
      <c r="M12" s="12">
        <f t="shared" si="2"/>
        <v>964</v>
      </c>
      <c r="N12" s="12">
        <f t="shared" si="2"/>
        <v>865</v>
      </c>
      <c r="O12" s="12">
        <f t="shared" si="2"/>
        <v>1285</v>
      </c>
    </row>
    <row r="13" spans="2:15" x14ac:dyDescent="0.3">
      <c r="C13" s="12" t="s">
        <v>15</v>
      </c>
      <c r="D13" s="12">
        <f t="shared" ref="D13:O13" si="3">D9</f>
        <v>-730</v>
      </c>
      <c r="E13" s="12">
        <f t="shared" si="3"/>
        <v>-868</v>
      </c>
      <c r="F13" s="12">
        <f t="shared" si="3"/>
        <v>-1205</v>
      </c>
      <c r="G13" s="12">
        <f t="shared" si="3"/>
        <v>-1148</v>
      </c>
      <c r="H13" s="12">
        <f t="shared" si="3"/>
        <v>-812</v>
      </c>
      <c r="I13" s="12">
        <f t="shared" si="3"/>
        <v>-1378</v>
      </c>
      <c r="J13" s="12">
        <f t="shared" si="3"/>
        <v>-853</v>
      </c>
      <c r="K13" s="12">
        <f t="shared" si="3"/>
        <v>-1310</v>
      </c>
      <c r="L13" s="12">
        <f t="shared" si="3"/>
        <v>-1229</v>
      </c>
      <c r="M13" s="12">
        <f t="shared" si="3"/>
        <v>-990</v>
      </c>
      <c r="N13" s="12">
        <f t="shared" si="3"/>
        <v>-945</v>
      </c>
      <c r="O13" s="12">
        <f t="shared" si="3"/>
        <v>-1107</v>
      </c>
    </row>
    <row r="14" spans="2:15" ht="15" thickBot="1" x14ac:dyDescent="0.35">
      <c r="C14" s="12" t="s">
        <v>90</v>
      </c>
      <c r="D14" s="15">
        <f>SUM(D11:D13)</f>
        <v>1353</v>
      </c>
      <c r="E14" s="15">
        <f t="shared" ref="E14:O14" si="4">SUM(E11:E13)</f>
        <v>1588</v>
      </c>
      <c r="F14" s="15">
        <f t="shared" si="4"/>
        <v>1617</v>
      </c>
      <c r="G14" s="15">
        <f t="shared" si="4"/>
        <v>1434</v>
      </c>
      <c r="H14" s="15">
        <f t="shared" si="4"/>
        <v>1649</v>
      </c>
      <c r="I14" s="15">
        <f t="shared" si="4"/>
        <v>1259</v>
      </c>
      <c r="J14" s="15">
        <f t="shared" si="4"/>
        <v>1260</v>
      </c>
      <c r="K14" s="15">
        <f t="shared" si="4"/>
        <v>1005</v>
      </c>
      <c r="L14" s="15">
        <f t="shared" si="4"/>
        <v>877</v>
      </c>
      <c r="M14" s="15">
        <f t="shared" si="4"/>
        <v>851</v>
      </c>
      <c r="N14" s="15">
        <f t="shared" si="4"/>
        <v>771</v>
      </c>
      <c r="O14" s="15">
        <f t="shared" si="4"/>
        <v>949</v>
      </c>
    </row>
    <row r="15" spans="2:15" ht="15" thickTop="1" x14ac:dyDescent="0.3"/>
    <row r="17" spans="2:17" x14ac:dyDescent="0.3">
      <c r="C17" s="17" t="s">
        <v>91</v>
      </c>
      <c r="D17" s="17" t="s">
        <v>0</v>
      </c>
      <c r="E17" s="17" t="s">
        <v>1</v>
      </c>
      <c r="F17" s="17" t="s">
        <v>2</v>
      </c>
      <c r="G17" s="17" t="s">
        <v>3</v>
      </c>
      <c r="H17" s="17" t="s">
        <v>4</v>
      </c>
      <c r="I17" s="17" t="s">
        <v>5</v>
      </c>
      <c r="J17" s="17" t="s">
        <v>6</v>
      </c>
      <c r="K17" s="17" t="s">
        <v>7</v>
      </c>
      <c r="L17" s="17" t="s">
        <v>8</v>
      </c>
      <c r="M17" s="17" t="s">
        <v>9</v>
      </c>
      <c r="N17" s="17" t="s">
        <v>10</v>
      </c>
      <c r="O17" s="17" t="s">
        <v>11</v>
      </c>
      <c r="P17" s="17" t="s">
        <v>92</v>
      </c>
    </row>
    <row r="18" spans="2:17" x14ac:dyDescent="0.3">
      <c r="B18" s="16" t="s">
        <v>18</v>
      </c>
      <c r="C18" s="12">
        <f>D11</f>
        <v>1066</v>
      </c>
      <c r="D18" s="12">
        <f>D12+D13</f>
        <v>287</v>
      </c>
      <c r="E18" s="12">
        <f t="shared" ref="E18:O18" si="5">E12+E13</f>
        <v>235</v>
      </c>
      <c r="F18" s="12">
        <f t="shared" si="5"/>
        <v>29</v>
      </c>
      <c r="G18" s="12">
        <f t="shared" si="5"/>
        <v>-183</v>
      </c>
      <c r="H18" s="12">
        <f t="shared" si="5"/>
        <v>215</v>
      </c>
      <c r="I18" s="12">
        <f t="shared" si="5"/>
        <v>-390</v>
      </c>
      <c r="J18" s="12">
        <f t="shared" si="5"/>
        <v>1</v>
      </c>
      <c r="K18" s="12">
        <f t="shared" si="5"/>
        <v>-255</v>
      </c>
      <c r="L18" s="12">
        <f t="shared" si="5"/>
        <v>-128</v>
      </c>
      <c r="M18" s="12">
        <f t="shared" si="5"/>
        <v>-26</v>
      </c>
      <c r="N18" s="12">
        <f t="shared" si="5"/>
        <v>-80</v>
      </c>
      <c r="O18" s="12">
        <f t="shared" si="5"/>
        <v>178</v>
      </c>
      <c r="P18" s="12">
        <f>O14</f>
        <v>949</v>
      </c>
    </row>
    <row r="24" spans="2:17" x14ac:dyDescent="0.3">
      <c r="D24" s="17" t="s">
        <v>0</v>
      </c>
      <c r="E24" s="17" t="s">
        <v>1</v>
      </c>
      <c r="F24" s="17" t="s">
        <v>2</v>
      </c>
      <c r="G24" s="17" t="s">
        <v>3</v>
      </c>
      <c r="H24" s="17" t="s">
        <v>4</v>
      </c>
      <c r="I24" s="17" t="s">
        <v>5</v>
      </c>
      <c r="J24" s="17" t="s">
        <v>6</v>
      </c>
      <c r="K24" s="17" t="s">
        <v>7</v>
      </c>
      <c r="L24" s="17" t="s">
        <v>8</v>
      </c>
      <c r="M24" s="17" t="s">
        <v>9</v>
      </c>
      <c r="N24" s="17" t="s">
        <v>10</v>
      </c>
      <c r="O24" s="17" t="s">
        <v>11</v>
      </c>
    </row>
    <row r="25" spans="2:17" x14ac:dyDescent="0.3">
      <c r="B25" s="16" t="s">
        <v>88</v>
      </c>
      <c r="C25" s="12" t="s">
        <v>21</v>
      </c>
      <c r="D25" s="12">
        <f t="shared" ref="D25:O25" si="6">IF(D18&gt;0,D18,0)</f>
        <v>287</v>
      </c>
      <c r="E25" s="12">
        <f t="shared" si="6"/>
        <v>235</v>
      </c>
      <c r="F25" s="12">
        <f t="shared" si="6"/>
        <v>29</v>
      </c>
      <c r="G25" s="12">
        <f t="shared" si="6"/>
        <v>0</v>
      </c>
      <c r="H25" s="12">
        <f t="shared" si="6"/>
        <v>215</v>
      </c>
      <c r="I25" s="12">
        <f t="shared" si="6"/>
        <v>0</v>
      </c>
      <c r="J25" s="12">
        <f t="shared" si="6"/>
        <v>1</v>
      </c>
      <c r="K25" s="12">
        <f t="shared" si="6"/>
        <v>0</v>
      </c>
      <c r="L25" s="12">
        <f t="shared" si="6"/>
        <v>0</v>
      </c>
      <c r="M25" s="12">
        <f t="shared" si="6"/>
        <v>0</v>
      </c>
      <c r="N25" s="12">
        <f t="shared" si="6"/>
        <v>0</v>
      </c>
      <c r="O25" s="12">
        <f t="shared" si="6"/>
        <v>178</v>
      </c>
      <c r="Q25" s="12" t="s">
        <v>93</v>
      </c>
    </row>
    <row r="26" spans="2:17" x14ac:dyDescent="0.3">
      <c r="C26" s="12" t="s">
        <v>22</v>
      </c>
      <c r="D26" s="12">
        <f t="shared" ref="D26:O26" si="7">IF(D18&lt;0,D18,0)</f>
        <v>0</v>
      </c>
      <c r="E26" s="12">
        <f t="shared" si="7"/>
        <v>0</v>
      </c>
      <c r="F26" s="12">
        <f t="shared" si="7"/>
        <v>0</v>
      </c>
      <c r="G26" s="12">
        <f t="shared" si="7"/>
        <v>-183</v>
      </c>
      <c r="H26" s="12">
        <f t="shared" si="7"/>
        <v>0</v>
      </c>
      <c r="I26" s="12">
        <f t="shared" si="7"/>
        <v>-390</v>
      </c>
      <c r="J26" s="12">
        <f t="shared" si="7"/>
        <v>0</v>
      </c>
      <c r="K26" s="12">
        <f t="shared" si="7"/>
        <v>-255</v>
      </c>
      <c r="L26" s="12">
        <f t="shared" si="7"/>
        <v>-128</v>
      </c>
      <c r="M26" s="12">
        <f t="shared" si="7"/>
        <v>-26</v>
      </c>
      <c r="N26" s="12">
        <f t="shared" si="7"/>
        <v>-80</v>
      </c>
      <c r="O26" s="12">
        <f t="shared" si="7"/>
        <v>0</v>
      </c>
      <c r="Q26" s="12" t="s">
        <v>94</v>
      </c>
    </row>
    <row r="27" spans="2:17" x14ac:dyDescent="0.3">
      <c r="C27" s="12" t="s">
        <v>23</v>
      </c>
      <c r="D27" s="12">
        <f t="shared" ref="D27:O27" si="8">D14</f>
        <v>1353</v>
      </c>
      <c r="E27" s="12">
        <f t="shared" si="8"/>
        <v>1588</v>
      </c>
      <c r="F27" s="12">
        <f t="shared" si="8"/>
        <v>1617</v>
      </c>
      <c r="G27" s="12">
        <f t="shared" si="8"/>
        <v>1434</v>
      </c>
      <c r="H27" s="12">
        <f t="shared" si="8"/>
        <v>1649</v>
      </c>
      <c r="I27" s="12">
        <f t="shared" si="8"/>
        <v>1259</v>
      </c>
      <c r="J27" s="12">
        <f t="shared" si="8"/>
        <v>1260</v>
      </c>
      <c r="K27" s="12">
        <f t="shared" si="8"/>
        <v>1005</v>
      </c>
      <c r="L27" s="12">
        <f t="shared" si="8"/>
        <v>877</v>
      </c>
      <c r="M27" s="12">
        <f t="shared" si="8"/>
        <v>851</v>
      </c>
      <c r="N27" s="12">
        <f t="shared" si="8"/>
        <v>771</v>
      </c>
      <c r="O27" s="12">
        <f t="shared" si="8"/>
        <v>949</v>
      </c>
      <c r="Q27" s="12" t="s">
        <v>95</v>
      </c>
    </row>
    <row r="28" spans="2:17" x14ac:dyDescent="0.3">
      <c r="C28" s="12" t="s">
        <v>19</v>
      </c>
      <c r="D28" s="12">
        <v>1000</v>
      </c>
      <c r="E28" s="12">
        <v>1000</v>
      </c>
      <c r="F28" s="12">
        <v>1000</v>
      </c>
      <c r="G28" s="12">
        <v>1000</v>
      </c>
      <c r="H28" s="12">
        <v>1000</v>
      </c>
      <c r="I28" s="12">
        <v>1000</v>
      </c>
      <c r="J28" s="12">
        <v>1000</v>
      </c>
      <c r="K28" s="12">
        <v>1000</v>
      </c>
      <c r="L28" s="12">
        <v>1000</v>
      </c>
      <c r="M28" s="12">
        <v>1000</v>
      </c>
      <c r="N28" s="12">
        <v>1000</v>
      </c>
      <c r="O28" s="12">
        <v>1000</v>
      </c>
      <c r="Q28" s="12" t="s">
        <v>19</v>
      </c>
    </row>
    <row r="29" spans="2:17" x14ac:dyDescent="0.3">
      <c r="C29" s="12" t="s">
        <v>20</v>
      </c>
      <c r="D29" s="12">
        <f t="shared" ref="D29:O29" si="9">IF(D28&gt;D27,D28-D27,0)</f>
        <v>0</v>
      </c>
      <c r="E29" s="12">
        <f t="shared" si="9"/>
        <v>0</v>
      </c>
      <c r="F29" s="12">
        <f t="shared" si="9"/>
        <v>0</v>
      </c>
      <c r="G29" s="12">
        <f t="shared" si="9"/>
        <v>0</v>
      </c>
      <c r="H29" s="12">
        <f t="shared" si="9"/>
        <v>0</v>
      </c>
      <c r="I29" s="12">
        <f t="shared" si="9"/>
        <v>0</v>
      </c>
      <c r="J29" s="12">
        <f t="shared" si="9"/>
        <v>0</v>
      </c>
      <c r="K29" s="12">
        <f t="shared" si="9"/>
        <v>0</v>
      </c>
      <c r="L29" s="12">
        <f t="shared" si="9"/>
        <v>123</v>
      </c>
      <c r="M29" s="12">
        <f t="shared" si="9"/>
        <v>149</v>
      </c>
      <c r="N29" s="12">
        <f t="shared" si="9"/>
        <v>229</v>
      </c>
      <c r="O29" s="12">
        <f t="shared" si="9"/>
        <v>51</v>
      </c>
      <c r="Q29" s="12" t="s">
        <v>96</v>
      </c>
    </row>
    <row r="30" spans="2:17" x14ac:dyDescent="0.3">
      <c r="C30" s="12" t="s">
        <v>98</v>
      </c>
      <c r="D30" s="12">
        <v>1000</v>
      </c>
      <c r="E30" s="12">
        <v>1000</v>
      </c>
      <c r="F30" s="12">
        <v>1000</v>
      </c>
      <c r="G30" s="12">
        <v>1000</v>
      </c>
      <c r="H30" s="12">
        <v>1000</v>
      </c>
      <c r="I30" s="12">
        <v>1000</v>
      </c>
      <c r="J30" s="12">
        <v>1000</v>
      </c>
      <c r="K30" s="12">
        <v>1000</v>
      </c>
      <c r="L30" s="12">
        <f>L27</f>
        <v>877</v>
      </c>
      <c r="M30" s="12">
        <f>M27</f>
        <v>851</v>
      </c>
      <c r="N30" s="12">
        <f>N27</f>
        <v>771</v>
      </c>
      <c r="O30" s="12">
        <f>O27</f>
        <v>949</v>
      </c>
      <c r="Q30" s="12" t="s">
        <v>97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1DBF-0624-4D7D-8577-1D62BCE283D6}">
  <dimension ref="A1:Q19"/>
  <sheetViews>
    <sheetView workbookViewId="0">
      <selection activeCell="I23" sqref="I23"/>
    </sheetView>
  </sheetViews>
  <sheetFormatPr defaultRowHeight="14.4" x14ac:dyDescent="0.3"/>
  <cols>
    <col min="3" max="4" width="10.33203125" bestFit="1" customWidth="1"/>
  </cols>
  <sheetData>
    <row r="1" spans="1:17" ht="25.8" x14ac:dyDescent="0.5">
      <c r="A1" s="9" t="s">
        <v>38</v>
      </c>
    </row>
    <row r="2" spans="1:17" x14ac:dyDescent="0.3">
      <c r="E2" s="6" t="s">
        <v>33</v>
      </c>
      <c r="F2" s="6" t="str">
        <f>E2</f>
        <v>£,000</v>
      </c>
      <c r="G2" s="6" t="str">
        <f>F2</f>
        <v>£,000</v>
      </c>
    </row>
    <row r="3" spans="1:17" x14ac:dyDescent="0.3">
      <c r="E3" s="6" t="s">
        <v>34</v>
      </c>
      <c r="F3" s="6" t="s">
        <v>35</v>
      </c>
      <c r="G3" s="6" t="s">
        <v>36</v>
      </c>
      <c r="H3" s="6" t="s">
        <v>37</v>
      </c>
    </row>
    <row r="4" spans="1:17" x14ac:dyDescent="0.3">
      <c r="A4" t="s">
        <v>24</v>
      </c>
      <c r="E4" s="4">
        <v>340</v>
      </c>
      <c r="F4" s="4">
        <v>500</v>
      </c>
      <c r="G4" s="7">
        <f>F4-E4</f>
        <v>160</v>
      </c>
      <c r="H4" t="str">
        <f>IF(F4=E4,"At Target",IF(F4&gt;E4,"Shortfall","Excess"))</f>
        <v>Shortfall</v>
      </c>
    </row>
    <row r="5" spans="1:17" x14ac:dyDescent="0.3">
      <c r="A5" t="s">
        <v>29</v>
      </c>
      <c r="B5" t="s">
        <v>25</v>
      </c>
      <c r="E5" s="4">
        <v>250</v>
      </c>
      <c r="F5" s="4">
        <v>250</v>
      </c>
      <c r="G5" s="7">
        <f>F5-E5</f>
        <v>0</v>
      </c>
      <c r="H5" t="str">
        <f>IF(F5=E5,"At Target",IF(F5&gt;E5,"Shortfall","Excess"))</f>
        <v>At Target</v>
      </c>
    </row>
    <row r="6" spans="1:17" x14ac:dyDescent="0.3">
      <c r="B6" t="s">
        <v>26</v>
      </c>
      <c r="E6" s="4">
        <v>250</v>
      </c>
      <c r="F6" s="4">
        <v>250</v>
      </c>
      <c r="G6" s="7">
        <f>F6-E6</f>
        <v>0</v>
      </c>
      <c r="H6" t="str">
        <f>IF(F6=E6,"At Target",IF(F6&gt;E6,"Shortfall","Excess"))</f>
        <v>At Target</v>
      </c>
    </row>
    <row r="7" spans="1:17" x14ac:dyDescent="0.3">
      <c r="B7" t="s">
        <v>27</v>
      </c>
      <c r="E7" s="4">
        <v>250</v>
      </c>
      <c r="F7" s="4">
        <v>250</v>
      </c>
      <c r="G7" s="7">
        <f>F7-E7</f>
        <v>0</v>
      </c>
      <c r="H7" t="str">
        <f>IF(F7=E7,"At Target",IF(F7&gt;E7,"Shortfall","Excess"))</f>
        <v>At Target</v>
      </c>
    </row>
    <row r="8" spans="1:17" x14ac:dyDescent="0.3">
      <c r="A8" t="s">
        <v>28</v>
      </c>
      <c r="E8" s="4">
        <v>2500</v>
      </c>
    </row>
    <row r="9" spans="1:17" ht="15" thickBot="1" x14ac:dyDescent="0.35">
      <c r="A9" t="s">
        <v>32</v>
      </c>
      <c r="E9" s="5">
        <f>SUM(E4:E8)</f>
        <v>3590</v>
      </c>
    </row>
    <row r="10" spans="1:17" ht="15" thickTop="1" x14ac:dyDescent="0.3">
      <c r="E10" s="1"/>
    </row>
    <row r="12" spans="1:17" x14ac:dyDescent="0.3">
      <c r="B12" s="6" t="s">
        <v>33</v>
      </c>
      <c r="C12" s="6" t="s">
        <v>39</v>
      </c>
      <c r="D12" s="6" t="s">
        <v>40</v>
      </c>
      <c r="E12" s="8">
        <v>45747</v>
      </c>
      <c r="F12" s="8">
        <v>45777</v>
      </c>
      <c r="G12" s="8">
        <v>45808</v>
      </c>
      <c r="H12" s="8">
        <v>45838</v>
      </c>
      <c r="I12" s="8">
        <v>45869</v>
      </c>
      <c r="J12" s="8">
        <v>45900</v>
      </c>
      <c r="K12" s="8">
        <v>45930</v>
      </c>
      <c r="L12" s="8">
        <v>45961</v>
      </c>
      <c r="M12" s="8">
        <v>45991</v>
      </c>
      <c r="N12" s="8">
        <v>46022</v>
      </c>
      <c r="O12" s="8">
        <v>46053</v>
      </c>
      <c r="P12" s="8">
        <v>46081</v>
      </c>
      <c r="Q12" s="2"/>
    </row>
    <row r="13" spans="1:17" x14ac:dyDescent="0.3">
      <c r="A13" t="s">
        <v>28</v>
      </c>
      <c r="B13" s="4">
        <v>600</v>
      </c>
      <c r="C13" s="3">
        <v>45383</v>
      </c>
      <c r="D13" s="3">
        <v>45747</v>
      </c>
      <c r="E13" s="4">
        <f t="shared" ref="E13:P17" si="0">IF(AND($C13&lt;=E$12,$D13&gt;=E$12),$B13,0)</f>
        <v>600</v>
      </c>
      <c r="F13" s="4">
        <f t="shared" si="0"/>
        <v>0</v>
      </c>
      <c r="G13" s="4">
        <f t="shared" si="0"/>
        <v>0</v>
      </c>
      <c r="H13" s="4">
        <f t="shared" si="0"/>
        <v>0</v>
      </c>
      <c r="I13" s="4">
        <f t="shared" si="0"/>
        <v>0</v>
      </c>
      <c r="J13" s="4">
        <f t="shared" si="0"/>
        <v>0</v>
      </c>
      <c r="K13" s="4">
        <f t="shared" si="0"/>
        <v>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</row>
    <row r="14" spans="1:17" x14ac:dyDescent="0.3">
      <c r="B14" s="4">
        <v>600</v>
      </c>
      <c r="C14" s="3">
        <v>45474</v>
      </c>
      <c r="D14" s="3">
        <v>45838</v>
      </c>
      <c r="E14" s="4">
        <f t="shared" si="0"/>
        <v>600</v>
      </c>
      <c r="F14" s="4">
        <f t="shared" si="0"/>
        <v>600</v>
      </c>
      <c r="G14" s="4">
        <f t="shared" si="0"/>
        <v>600</v>
      </c>
      <c r="H14" s="4">
        <f t="shared" si="0"/>
        <v>600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P14" s="4">
        <f t="shared" si="0"/>
        <v>0</v>
      </c>
    </row>
    <row r="15" spans="1:17" x14ac:dyDescent="0.3">
      <c r="B15" s="4">
        <v>400</v>
      </c>
      <c r="C15" s="3">
        <v>45536</v>
      </c>
      <c r="D15" s="3">
        <v>45900</v>
      </c>
      <c r="E15" s="4">
        <f t="shared" si="0"/>
        <v>400</v>
      </c>
      <c r="F15" s="4">
        <f t="shared" si="0"/>
        <v>400</v>
      </c>
      <c r="G15" s="4">
        <f t="shared" si="0"/>
        <v>400</v>
      </c>
      <c r="H15" s="4">
        <f t="shared" si="0"/>
        <v>400</v>
      </c>
      <c r="I15" s="4">
        <f t="shared" si="0"/>
        <v>400</v>
      </c>
      <c r="J15" s="4">
        <f t="shared" si="0"/>
        <v>400</v>
      </c>
      <c r="K15" s="4">
        <f t="shared" si="0"/>
        <v>0</v>
      </c>
      <c r="L15" s="4">
        <f t="shared" si="0"/>
        <v>0</v>
      </c>
      <c r="M15" s="4">
        <f t="shared" si="0"/>
        <v>0</v>
      </c>
      <c r="N15" s="4">
        <f t="shared" si="0"/>
        <v>0</v>
      </c>
      <c r="O15" s="4">
        <f t="shared" si="0"/>
        <v>0</v>
      </c>
      <c r="P15" s="4">
        <f t="shared" si="0"/>
        <v>0</v>
      </c>
    </row>
    <row r="16" spans="1:17" x14ac:dyDescent="0.3">
      <c r="B16" s="4">
        <v>300</v>
      </c>
      <c r="C16" s="3">
        <v>45566</v>
      </c>
      <c r="D16" s="3">
        <v>45930</v>
      </c>
      <c r="E16" s="4">
        <f t="shared" si="0"/>
        <v>300</v>
      </c>
      <c r="F16" s="4">
        <f t="shared" si="0"/>
        <v>300</v>
      </c>
      <c r="G16" s="4">
        <f t="shared" si="0"/>
        <v>300</v>
      </c>
      <c r="H16" s="4">
        <f t="shared" si="0"/>
        <v>300</v>
      </c>
      <c r="I16" s="4">
        <f t="shared" si="0"/>
        <v>300</v>
      </c>
      <c r="J16" s="4">
        <f t="shared" si="0"/>
        <v>300</v>
      </c>
      <c r="K16" s="4">
        <f t="shared" si="0"/>
        <v>300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</row>
    <row r="17" spans="1:16" x14ac:dyDescent="0.3">
      <c r="B17" s="4">
        <v>600</v>
      </c>
      <c r="C17" s="3">
        <v>45658</v>
      </c>
      <c r="D17" s="3">
        <v>46022</v>
      </c>
      <c r="E17" s="4">
        <f t="shared" si="0"/>
        <v>600</v>
      </c>
      <c r="F17" s="4">
        <f t="shared" si="0"/>
        <v>600</v>
      </c>
      <c r="G17" s="4">
        <f t="shared" si="0"/>
        <v>600</v>
      </c>
      <c r="H17" s="4">
        <f t="shared" si="0"/>
        <v>600</v>
      </c>
      <c r="I17" s="4">
        <f t="shared" si="0"/>
        <v>600</v>
      </c>
      <c r="J17" s="4">
        <f t="shared" si="0"/>
        <v>600</v>
      </c>
      <c r="K17" s="4">
        <f t="shared" si="0"/>
        <v>600</v>
      </c>
      <c r="L17" s="4">
        <f t="shared" si="0"/>
        <v>600</v>
      </c>
      <c r="M17" s="4">
        <f t="shared" si="0"/>
        <v>600</v>
      </c>
      <c r="N17" s="4">
        <f t="shared" si="0"/>
        <v>600</v>
      </c>
      <c r="O17" s="4">
        <f t="shared" si="0"/>
        <v>0</v>
      </c>
      <c r="P17" s="4">
        <f t="shared" si="0"/>
        <v>0</v>
      </c>
    </row>
    <row r="18" spans="1:16" ht="15" thickBot="1" x14ac:dyDescent="0.35">
      <c r="A18" t="s">
        <v>30</v>
      </c>
      <c r="B18" s="5">
        <f>SUM(B13:B17)</f>
        <v>2500</v>
      </c>
      <c r="E18" s="5">
        <f t="shared" ref="E18:P18" si="1">SUM(E13:E17)</f>
        <v>2500</v>
      </c>
      <c r="F18" s="5">
        <f t="shared" si="1"/>
        <v>1900</v>
      </c>
      <c r="G18" s="5">
        <f t="shared" si="1"/>
        <v>1900</v>
      </c>
      <c r="H18" s="5">
        <f t="shared" si="1"/>
        <v>1900</v>
      </c>
      <c r="I18" s="5">
        <f t="shared" si="1"/>
        <v>1300</v>
      </c>
      <c r="J18" s="5">
        <f t="shared" si="1"/>
        <v>1300</v>
      </c>
      <c r="K18" s="5">
        <f t="shared" si="1"/>
        <v>900</v>
      </c>
      <c r="L18" s="5">
        <f t="shared" si="1"/>
        <v>600</v>
      </c>
      <c r="M18" s="5">
        <f t="shared" si="1"/>
        <v>600</v>
      </c>
      <c r="N18" s="5">
        <f t="shared" si="1"/>
        <v>600</v>
      </c>
      <c r="O18" s="5">
        <f t="shared" si="1"/>
        <v>0</v>
      </c>
      <c r="P18" s="5">
        <f t="shared" si="1"/>
        <v>0</v>
      </c>
    </row>
    <row r="19" spans="1:16" ht="15" thickTop="1" x14ac:dyDescent="0.3">
      <c r="A19" t="s">
        <v>31</v>
      </c>
      <c r="E19" s="4">
        <f t="shared" ref="E19:P19" si="2">E18-F18</f>
        <v>600</v>
      </c>
      <c r="F19" s="4">
        <f t="shared" si="2"/>
        <v>0</v>
      </c>
      <c r="G19" s="4">
        <f t="shared" si="2"/>
        <v>0</v>
      </c>
      <c r="H19" s="4">
        <f t="shared" si="2"/>
        <v>600</v>
      </c>
      <c r="I19" s="4">
        <f t="shared" si="2"/>
        <v>0</v>
      </c>
      <c r="J19" s="4">
        <f t="shared" si="2"/>
        <v>400</v>
      </c>
      <c r="K19" s="4">
        <f t="shared" si="2"/>
        <v>300</v>
      </c>
      <c r="L19" s="4">
        <f t="shared" si="2"/>
        <v>0</v>
      </c>
      <c r="M19" s="4">
        <f t="shared" si="2"/>
        <v>0</v>
      </c>
      <c r="N19" s="4">
        <f t="shared" si="2"/>
        <v>600</v>
      </c>
      <c r="O19" s="4">
        <f t="shared" si="2"/>
        <v>0</v>
      </c>
      <c r="P19" s="4">
        <f t="shared" si="2"/>
        <v>0</v>
      </c>
    </row>
  </sheetData>
  <conditionalFormatting sqref="E13:P1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to Cash</vt:lpstr>
      <vt:lpstr>Seasonality</vt:lpstr>
      <vt:lpstr>Charting</vt:lpstr>
      <vt:lpstr>Treasury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Tennent</dc:creator>
  <cp:lastModifiedBy>John Tennent</cp:lastModifiedBy>
  <dcterms:created xsi:type="dcterms:W3CDTF">2025-03-02T17:32:21Z</dcterms:created>
  <dcterms:modified xsi:type="dcterms:W3CDTF">2025-03-05T15:42:46Z</dcterms:modified>
</cp:coreProperties>
</file>