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caew-my.sharepoint.com/personal/david_lyford-smith_icaew_com/Documents/Excel/Training courses/Charities Community webinar files/"/>
    </mc:Choice>
  </mc:AlternateContent>
  <xr:revisionPtr revIDLastSave="49" documentId="8_{3CB0C6A4-3EF3-42B3-A991-14BDFC53095A}" xr6:coauthVersionLast="45" xr6:coauthVersionMax="45" xr10:uidLastSave="{09199602-B7F2-47F4-85A9-709F321D68C6}"/>
  <bookViews>
    <workbookView xWindow="-120" yWindow="-120" windowWidth="23280" windowHeight="12600" tabRatio="815" xr2:uid="{C2834DBE-68F0-473D-BF73-A2A99CDB6824}"/>
  </bookViews>
  <sheets>
    <sheet name="Tables" sheetId="2" r:id="rId1"/>
    <sheet name="Cell styles" sheetId="4" r:id="rId2"/>
    <sheet name="Lookup functions" sheetId="1" r:id="rId3"/>
    <sheet name="Conditional formatting" sheetId="3" r:id="rId4"/>
    <sheet name="Loan calculations" sheetId="8" r:id="rId5"/>
    <sheet name="Advanced Filter &amp; database fns" sheetId="7" r:id="rId6"/>
    <sheet name="Goal seek" sheetId="5" r:id="rId7"/>
    <sheet name="Data tables" sheetId="6" r:id="rId8"/>
  </sheets>
  <definedNames>
    <definedName name="_xlnm._FilterDatabase" localSheetId="0" hidden="1">Tables!$B$5:$G$12</definedName>
    <definedName name="Discount">'Goal seek'!$D$8</definedName>
    <definedName name="Growth">'Goal seek'!$D$7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98" i="8" l="1"/>
  <c r="B197" i="8"/>
  <c r="B196" i="8"/>
  <c r="B195" i="8"/>
  <c r="B194" i="8"/>
  <c r="B193" i="8"/>
  <c r="B192" i="8"/>
  <c r="B191" i="8"/>
  <c r="B190" i="8"/>
  <c r="B189" i="8"/>
  <c r="B188" i="8"/>
  <c r="B187" i="8"/>
  <c r="B186" i="8"/>
  <c r="B185" i="8"/>
  <c r="B184" i="8"/>
  <c r="B183" i="8"/>
  <c r="B182" i="8"/>
  <c r="B181" i="8"/>
  <c r="B180" i="8"/>
  <c r="B179" i="8"/>
  <c r="B178" i="8"/>
  <c r="B177" i="8"/>
  <c r="B176" i="8"/>
  <c r="B175" i="8"/>
  <c r="B174" i="8"/>
  <c r="B173" i="8"/>
  <c r="B172" i="8"/>
  <c r="B171" i="8"/>
  <c r="B170" i="8"/>
  <c r="B169" i="8"/>
  <c r="B168" i="8"/>
  <c r="B167" i="8"/>
  <c r="B166" i="8"/>
  <c r="B165" i="8"/>
  <c r="B164" i="8"/>
  <c r="B163" i="8"/>
  <c r="B162" i="8"/>
  <c r="B161" i="8"/>
  <c r="B160" i="8"/>
  <c r="B159" i="8"/>
  <c r="B158" i="8"/>
  <c r="B157" i="8"/>
  <c r="B156" i="8"/>
  <c r="B155" i="8"/>
  <c r="B154" i="8"/>
  <c r="B153" i="8"/>
  <c r="B152" i="8"/>
  <c r="B151" i="8"/>
  <c r="B150" i="8"/>
  <c r="B149" i="8"/>
  <c r="B148" i="8"/>
  <c r="B147" i="8"/>
  <c r="B146" i="8"/>
  <c r="B145" i="8"/>
  <c r="B144" i="8"/>
  <c r="B143" i="8"/>
  <c r="B142" i="8"/>
  <c r="B141" i="8"/>
  <c r="B140" i="8"/>
  <c r="B139" i="8"/>
  <c r="B138" i="8"/>
  <c r="B137" i="8"/>
  <c r="B136" i="8"/>
  <c r="B135" i="8"/>
  <c r="B134" i="8"/>
  <c r="B133" i="8"/>
  <c r="B132" i="8"/>
  <c r="B131" i="8"/>
  <c r="B130" i="8"/>
  <c r="B129" i="8"/>
  <c r="B128" i="8"/>
  <c r="B127" i="8"/>
  <c r="B126" i="8"/>
  <c r="B125" i="8"/>
  <c r="B124" i="8"/>
  <c r="B123" i="8"/>
  <c r="B122" i="8"/>
  <c r="B121" i="8"/>
  <c r="B120" i="8"/>
  <c r="B119" i="8"/>
  <c r="B118" i="8"/>
  <c r="B117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C12" i="8"/>
  <c r="B12" i="8"/>
  <c r="E8" i="8"/>
  <c r="C9" i="6"/>
  <c r="F16" i="6" s="1"/>
  <c r="E16" i="5"/>
  <c r="D16" i="5"/>
  <c r="F14" i="5"/>
  <c r="G14" i="5" s="1"/>
  <c r="D12" i="8" l="1"/>
  <c r="E12" i="8" s="1"/>
  <c r="G16" i="5"/>
  <c r="H14" i="5"/>
  <c r="H16" i="5" s="1"/>
  <c r="F16" i="5"/>
  <c r="D18" i="5" s="1"/>
  <c r="C10" i="6"/>
  <c r="C16" i="6"/>
  <c r="F12" i="8" l="1"/>
  <c r="C13" i="8" s="1"/>
  <c r="D13" i="8" l="1"/>
  <c r="E13" i="8" l="1"/>
  <c r="F13" i="8" l="1"/>
  <c r="C14" i="8" s="1"/>
  <c r="D14" i="8" l="1"/>
  <c r="E14" i="8" l="1"/>
  <c r="F14" i="8" s="1"/>
  <c r="C15" i="8" s="1"/>
  <c r="D15" i="8" l="1"/>
  <c r="E15" i="8"/>
  <c r="F15" i="8" s="1"/>
  <c r="C16" i="8" s="1"/>
  <c r="D16" i="8" l="1"/>
  <c r="E16" i="8" s="1"/>
  <c r="F16" i="8" l="1"/>
  <c r="C17" i="8" s="1"/>
  <c r="D17" i="8" l="1"/>
  <c r="E17" i="8" l="1"/>
  <c r="F17" i="8" s="1"/>
  <c r="C18" i="8" s="1"/>
  <c r="D18" i="8" l="1"/>
  <c r="E18" i="8" l="1"/>
  <c r="F18" i="8" s="1"/>
  <c r="C19" i="8" s="1"/>
  <c r="D19" i="8" l="1"/>
  <c r="E19" i="8" s="1"/>
  <c r="F19" i="8" l="1"/>
  <c r="C20" i="8" s="1"/>
  <c r="D20" i="8" l="1"/>
  <c r="E20" i="8" l="1"/>
  <c r="F20" i="8" s="1"/>
  <c r="C21" i="8" s="1"/>
  <c r="D21" i="8" l="1"/>
  <c r="F21" i="8" s="1"/>
  <c r="C22" i="8" s="1"/>
  <c r="E21" i="8"/>
  <c r="D22" i="8" l="1"/>
  <c r="E22" i="8" s="1"/>
  <c r="F22" i="8" s="1"/>
  <c r="C23" i="8" s="1"/>
  <c r="E23" i="8" l="1"/>
  <c r="D23" i="8"/>
  <c r="F23" i="8" s="1"/>
  <c r="C24" i="8" s="1"/>
  <c r="D24" i="8" l="1"/>
  <c r="E24" i="8" s="1"/>
  <c r="F24" i="8" l="1"/>
  <c r="C25" i="8" s="1"/>
  <c r="D25" i="8" l="1"/>
  <c r="E25" i="8" s="1"/>
  <c r="F25" i="8" l="1"/>
  <c r="C26" i="8" s="1"/>
  <c r="D26" i="8" l="1"/>
  <c r="E26" i="8" l="1"/>
  <c r="F26" i="8" s="1"/>
  <c r="C27" i="8" s="1"/>
  <c r="D27" i="8" l="1"/>
  <c r="E27" i="8"/>
  <c r="F27" i="8" s="1"/>
  <c r="C28" i="8" s="1"/>
  <c r="D28" i="8" l="1"/>
  <c r="E28" i="8" s="1"/>
  <c r="F28" i="8" s="1"/>
  <c r="C29" i="8" s="1"/>
  <c r="D29" i="8" l="1"/>
  <c r="E29" i="8" l="1"/>
  <c r="F29" i="8" s="1"/>
  <c r="C30" i="8" s="1"/>
  <c r="D30" i="8" l="1"/>
  <c r="F30" i="8" s="1"/>
  <c r="C31" i="8" s="1"/>
  <c r="E30" i="8"/>
  <c r="D31" i="8" l="1"/>
  <c r="E31" i="8"/>
  <c r="F31" i="8" s="1"/>
  <c r="C32" i="8" s="1"/>
  <c r="D32" i="8" l="1"/>
  <c r="E32" i="8" l="1"/>
  <c r="F32" i="8" s="1"/>
  <c r="C33" i="8" s="1"/>
  <c r="D33" i="8" l="1"/>
  <c r="E33" i="8"/>
  <c r="F33" i="8" s="1"/>
  <c r="C34" i="8" s="1"/>
  <c r="D34" i="8" l="1"/>
  <c r="E34" i="8" s="1"/>
  <c r="F34" i="8" s="1"/>
  <c r="C35" i="8" s="1"/>
  <c r="D35" i="8" l="1"/>
  <c r="E35" i="8" l="1"/>
  <c r="F35" i="8" s="1"/>
  <c r="C36" i="8" s="1"/>
  <c r="D36" i="8" l="1"/>
  <c r="E36" i="8" s="1"/>
  <c r="F36" i="8" l="1"/>
  <c r="C37" i="8" s="1"/>
  <c r="D37" i="8" l="1"/>
  <c r="E37" i="8"/>
  <c r="F37" i="8" s="1"/>
  <c r="C38" i="8" s="1"/>
  <c r="D38" i="8" l="1"/>
  <c r="E38" i="8" l="1"/>
  <c r="F38" i="8" s="1"/>
  <c r="C39" i="8" s="1"/>
  <c r="D39" i="8" l="1"/>
  <c r="E39" i="8" l="1"/>
  <c r="F39" i="8" s="1"/>
  <c r="C40" i="8" s="1"/>
  <c r="D40" i="8" l="1"/>
  <c r="E40" i="8" s="1"/>
  <c r="F40" i="8" s="1"/>
  <c r="C41" i="8" s="1"/>
  <c r="D41" i="8" l="1"/>
  <c r="E41" i="8" l="1"/>
  <c r="F41" i="8" s="1"/>
  <c r="C42" i="8" s="1"/>
  <c r="D42" i="8" l="1"/>
  <c r="E42" i="8" l="1"/>
  <c r="F42" i="8" s="1"/>
  <c r="C43" i="8" s="1"/>
  <c r="D43" i="8" l="1"/>
  <c r="E43" i="8" s="1"/>
  <c r="F43" i="8" s="1"/>
  <c r="C44" i="8" s="1"/>
  <c r="D44" i="8" l="1"/>
  <c r="E44" i="8" l="1"/>
  <c r="F44" i="8" s="1"/>
  <c r="C45" i="8" s="1"/>
  <c r="D45" i="8" l="1"/>
  <c r="E45" i="8"/>
  <c r="F45" i="8" s="1"/>
  <c r="C46" i="8" s="1"/>
  <c r="D46" i="8" l="1"/>
  <c r="E46" i="8" s="1"/>
  <c r="F46" i="8" s="1"/>
  <c r="C47" i="8" s="1"/>
  <c r="D47" i="8" l="1"/>
  <c r="E47" i="8" l="1"/>
  <c r="F47" i="8" s="1"/>
  <c r="C48" i="8" s="1"/>
  <c r="D48" i="8" l="1"/>
  <c r="E48" i="8" l="1"/>
  <c r="F48" i="8" s="1"/>
  <c r="C49" i="8" s="1"/>
  <c r="D49" i="8" l="1"/>
  <c r="E49" i="8" l="1"/>
  <c r="F49" i="8" s="1"/>
  <c r="C50" i="8" s="1"/>
  <c r="D50" i="8" l="1"/>
  <c r="E50" i="8" s="1"/>
  <c r="F50" i="8" l="1"/>
  <c r="C51" i="8" s="1"/>
  <c r="D51" i="8" l="1"/>
  <c r="E51" i="8"/>
  <c r="F51" i="8" s="1"/>
  <c r="C52" i="8" s="1"/>
  <c r="D52" i="8" l="1"/>
  <c r="E52" i="8" s="1"/>
  <c r="F52" i="8" s="1"/>
  <c r="C53" i="8" s="1"/>
  <c r="D53" i="8" l="1"/>
  <c r="E53" i="8" l="1"/>
  <c r="F53" i="8" s="1"/>
  <c r="C54" i="8" s="1"/>
  <c r="D54" i="8" l="1"/>
  <c r="E54" i="8" l="1"/>
  <c r="F54" i="8" s="1"/>
  <c r="C55" i="8" s="1"/>
  <c r="D55" i="8" l="1"/>
  <c r="E55" i="8" l="1"/>
  <c r="F55" i="8" s="1"/>
  <c r="C56" i="8" s="1"/>
  <c r="D56" i="8" l="1"/>
  <c r="E56" i="8" l="1"/>
  <c r="F56" i="8" s="1"/>
  <c r="C57" i="8" s="1"/>
  <c r="D57" i="8" l="1"/>
  <c r="F57" i="8"/>
  <c r="C58" i="8" s="1"/>
  <c r="E57" i="8"/>
  <c r="D58" i="8" l="1"/>
  <c r="E58" i="8" s="1"/>
  <c r="F58" i="8" s="1"/>
  <c r="C59" i="8" s="1"/>
  <c r="D59" i="8" l="1"/>
  <c r="E59" i="8" l="1"/>
  <c r="F59" i="8" s="1"/>
  <c r="C60" i="8" s="1"/>
  <c r="D60" i="8" l="1"/>
  <c r="E60" i="8" l="1"/>
  <c r="F60" i="8" s="1"/>
  <c r="C61" i="8" s="1"/>
  <c r="D61" i="8" l="1"/>
  <c r="E61" i="8" l="1"/>
  <c r="F61" i="8" s="1"/>
  <c r="C62" i="8" s="1"/>
  <c r="D62" i="8" l="1"/>
  <c r="E62" i="8" l="1"/>
  <c r="F62" i="8" s="1"/>
  <c r="C63" i="8" s="1"/>
  <c r="D63" i="8" l="1"/>
  <c r="F63" i="8"/>
  <c r="C64" i="8" s="1"/>
  <c r="E63" i="8"/>
  <c r="D64" i="8" l="1"/>
  <c r="E64" i="8" s="1"/>
  <c r="F64" i="8" s="1"/>
  <c r="C65" i="8" s="1"/>
  <c r="D65" i="8" l="1"/>
  <c r="E65" i="8" l="1"/>
  <c r="F65" i="8" s="1"/>
  <c r="C66" i="8" s="1"/>
  <c r="D66" i="8" l="1"/>
  <c r="E66" i="8" l="1"/>
  <c r="F66" i="8" s="1"/>
  <c r="C67" i="8" s="1"/>
  <c r="D67" i="8" l="1"/>
  <c r="E67" i="8" l="1"/>
  <c r="F67" i="8" s="1"/>
  <c r="C68" i="8" s="1"/>
  <c r="D68" i="8" l="1"/>
  <c r="E68" i="8" l="1"/>
  <c r="F68" i="8" s="1"/>
  <c r="C69" i="8" s="1"/>
  <c r="D69" i="8" l="1"/>
  <c r="F69" i="8" s="1"/>
  <c r="C70" i="8" s="1"/>
  <c r="E69" i="8"/>
  <c r="D70" i="8" l="1"/>
  <c r="E70" i="8" s="1"/>
  <c r="F70" i="8" s="1"/>
  <c r="C71" i="8" s="1"/>
  <c r="D71" i="8" l="1"/>
  <c r="E71" i="8" l="1"/>
  <c r="F71" i="8" s="1"/>
  <c r="C72" i="8" s="1"/>
  <c r="D72" i="8" l="1"/>
  <c r="E72" i="8" s="1"/>
  <c r="F72" i="8" l="1"/>
  <c r="C73" i="8" s="1"/>
  <c r="D73" i="8" l="1"/>
  <c r="E73" i="8" l="1"/>
  <c r="F73" i="8" s="1"/>
  <c r="C74" i="8" s="1"/>
  <c r="D74" i="8" l="1"/>
  <c r="E74" i="8" s="1"/>
  <c r="F74" i="8" l="1"/>
  <c r="C75" i="8" s="1"/>
  <c r="D75" i="8" l="1"/>
  <c r="E75" i="8" l="1"/>
  <c r="F75" i="8" s="1"/>
  <c r="C76" i="8" s="1"/>
  <c r="D76" i="8" l="1"/>
  <c r="E76" i="8"/>
  <c r="F76" i="8" s="1"/>
  <c r="C77" i="8" s="1"/>
  <c r="E77" i="8" l="1"/>
  <c r="D77" i="8"/>
  <c r="F77" i="8"/>
  <c r="C78" i="8" s="1"/>
  <c r="D78" i="8" l="1"/>
  <c r="E78" i="8" l="1"/>
  <c r="F78" i="8" s="1"/>
  <c r="C79" i="8" s="1"/>
  <c r="D79" i="8" l="1"/>
  <c r="E79" i="8" l="1"/>
  <c r="F79" i="8" s="1"/>
  <c r="C80" i="8" s="1"/>
  <c r="D80" i="8" l="1"/>
  <c r="E80" i="8" l="1"/>
  <c r="F80" i="8" s="1"/>
  <c r="C81" i="8" s="1"/>
  <c r="D81" i="8" l="1"/>
  <c r="E81" i="8" l="1"/>
  <c r="F81" i="8" s="1"/>
  <c r="C82" i="8" s="1"/>
  <c r="D82" i="8" l="1"/>
  <c r="E82" i="8"/>
  <c r="F82" i="8" s="1"/>
  <c r="C83" i="8" s="1"/>
  <c r="D83" i="8" l="1"/>
  <c r="E83" i="8" s="1"/>
  <c r="F83" i="8" s="1"/>
  <c r="C84" i="8" s="1"/>
  <c r="D84" i="8" l="1"/>
  <c r="E84" i="8" l="1"/>
  <c r="F84" i="8" s="1"/>
  <c r="C85" i="8" s="1"/>
  <c r="D85" i="8" l="1"/>
  <c r="E85" i="8" l="1"/>
  <c r="F85" i="8" s="1"/>
  <c r="C86" i="8" s="1"/>
  <c r="D86" i="8" l="1"/>
  <c r="E86" i="8" l="1"/>
  <c r="F86" i="8" s="1"/>
  <c r="C87" i="8" s="1"/>
  <c r="D87" i="8" l="1"/>
  <c r="E87" i="8" l="1"/>
  <c r="F87" i="8" s="1"/>
  <c r="C88" i="8" s="1"/>
  <c r="D88" i="8" l="1"/>
  <c r="E88" i="8"/>
  <c r="F88" i="8" s="1"/>
  <c r="C89" i="8" s="1"/>
  <c r="D89" i="8" l="1"/>
  <c r="E89" i="8" s="1"/>
  <c r="F89" i="8" s="1"/>
  <c r="C90" i="8" s="1"/>
  <c r="D90" i="8" l="1"/>
  <c r="E90" i="8" l="1"/>
  <c r="F90" i="8" s="1"/>
  <c r="C91" i="8" s="1"/>
  <c r="D91" i="8" l="1"/>
  <c r="E91" i="8" l="1"/>
  <c r="F91" i="8" s="1"/>
  <c r="C92" i="8" s="1"/>
  <c r="D92" i="8" l="1"/>
  <c r="E92" i="8" l="1"/>
  <c r="F92" i="8" s="1"/>
  <c r="C93" i="8" s="1"/>
  <c r="D93" i="8" l="1"/>
  <c r="E93" i="8" l="1"/>
  <c r="F93" i="8" s="1"/>
  <c r="C94" i="8" s="1"/>
  <c r="D94" i="8" l="1"/>
  <c r="E94" i="8"/>
  <c r="F94" i="8" s="1"/>
  <c r="C95" i="8" s="1"/>
  <c r="D95" i="8" l="1"/>
  <c r="E95" i="8" s="1"/>
  <c r="F95" i="8" s="1"/>
  <c r="C96" i="8" s="1"/>
  <c r="D96" i="8" l="1"/>
  <c r="F96" i="8" l="1"/>
  <c r="C97" i="8" s="1"/>
  <c r="E96" i="8"/>
  <c r="D97" i="8" l="1"/>
  <c r="E97" i="8" s="1"/>
  <c r="F97" i="8" s="1"/>
  <c r="C98" i="8" s="1"/>
  <c r="D98" i="8" l="1"/>
  <c r="F98" i="8" l="1"/>
  <c r="C99" i="8" s="1"/>
  <c r="E98" i="8"/>
  <c r="D99" i="8" l="1"/>
  <c r="E99" i="8" s="1"/>
  <c r="F99" i="8" s="1"/>
  <c r="C100" i="8" s="1"/>
  <c r="D100" i="8" l="1"/>
  <c r="E100" i="8"/>
  <c r="F100" i="8" s="1"/>
  <c r="C101" i="8" s="1"/>
  <c r="D101" i="8" l="1"/>
  <c r="E101" i="8" s="1"/>
  <c r="F101" i="8" s="1"/>
  <c r="C102" i="8" s="1"/>
  <c r="D102" i="8" l="1"/>
  <c r="E102" i="8" l="1"/>
  <c r="F102" i="8" s="1"/>
  <c r="C103" i="8" s="1"/>
  <c r="D103" i="8" l="1"/>
  <c r="E103" i="8" l="1"/>
  <c r="F103" i="8" s="1"/>
  <c r="C104" i="8" s="1"/>
  <c r="D104" i="8" l="1"/>
  <c r="E104" i="8" l="1"/>
  <c r="F104" i="8" s="1"/>
  <c r="C105" i="8" s="1"/>
  <c r="D105" i="8" l="1"/>
  <c r="E105" i="8" l="1"/>
  <c r="F105" i="8" s="1"/>
  <c r="C106" i="8" s="1"/>
  <c r="D106" i="8" l="1"/>
  <c r="E106" i="8"/>
  <c r="F106" i="8" s="1"/>
  <c r="C107" i="8" s="1"/>
  <c r="D107" i="8" l="1"/>
  <c r="E107" i="8" s="1"/>
  <c r="F107" i="8" s="1"/>
  <c r="C108" i="8" s="1"/>
  <c r="D108" i="8" l="1"/>
  <c r="E108" i="8" l="1"/>
  <c r="F108" i="8" s="1"/>
  <c r="C109" i="8" s="1"/>
  <c r="D109" i="8" l="1"/>
  <c r="E109" i="8" l="1"/>
  <c r="F109" i="8" s="1"/>
  <c r="C110" i="8" s="1"/>
  <c r="D110" i="8" l="1"/>
  <c r="E110" i="8" l="1"/>
  <c r="F110" i="8" s="1"/>
  <c r="C111" i="8" s="1"/>
  <c r="D111" i="8" l="1"/>
  <c r="E111" i="8" l="1"/>
  <c r="F111" i="8" s="1"/>
  <c r="C112" i="8" s="1"/>
  <c r="D112" i="8" l="1"/>
  <c r="F112" i="8" s="1"/>
  <c r="C113" i="8" s="1"/>
  <c r="E112" i="8"/>
  <c r="D113" i="8" l="1"/>
  <c r="E113" i="8" s="1"/>
  <c r="F113" i="8" s="1"/>
  <c r="C114" i="8" s="1"/>
  <c r="D114" i="8" l="1"/>
  <c r="F114" i="8" l="1"/>
  <c r="C115" i="8" s="1"/>
  <c r="E114" i="8"/>
  <c r="D115" i="8" l="1"/>
  <c r="E115" i="8" l="1"/>
  <c r="F115" i="8" s="1"/>
  <c r="C116" i="8" s="1"/>
  <c r="D116" i="8" l="1"/>
  <c r="E116" i="8" l="1"/>
  <c r="F116" i="8" s="1"/>
  <c r="C117" i="8" s="1"/>
  <c r="D117" i="8" l="1"/>
  <c r="E117" i="8" l="1"/>
  <c r="F117" i="8" s="1"/>
  <c r="C118" i="8" s="1"/>
  <c r="D118" i="8" l="1"/>
  <c r="E118" i="8"/>
  <c r="F118" i="8" s="1"/>
  <c r="C119" i="8" s="1"/>
  <c r="D119" i="8" l="1"/>
  <c r="E119" i="8" s="1"/>
  <c r="F119" i="8" s="1"/>
  <c r="C120" i="8" s="1"/>
  <c r="D120" i="8" l="1"/>
  <c r="E120" i="8" l="1"/>
  <c r="F120" i="8" s="1"/>
  <c r="C121" i="8" s="1"/>
  <c r="D121" i="8" l="1"/>
  <c r="E121" i="8" l="1"/>
  <c r="F121" i="8" s="1"/>
  <c r="C122" i="8" s="1"/>
  <c r="D122" i="8" l="1"/>
  <c r="E122" i="8" l="1"/>
  <c r="F122" i="8" s="1"/>
  <c r="C123" i="8" s="1"/>
  <c r="D123" i="8" l="1"/>
  <c r="F123" i="8" s="1"/>
  <c r="C124" i="8" s="1"/>
  <c r="E123" i="8"/>
  <c r="D124" i="8" l="1"/>
  <c r="E124" i="8" s="1"/>
  <c r="F124" i="8" l="1"/>
  <c r="C125" i="8" s="1"/>
  <c r="D125" i="8" l="1"/>
  <c r="E125" i="8" l="1"/>
  <c r="F125" i="8" s="1"/>
  <c r="C126" i="8" s="1"/>
  <c r="D126" i="8" l="1"/>
  <c r="E126" i="8" l="1"/>
  <c r="F126" i="8" s="1"/>
  <c r="C127" i="8" s="1"/>
  <c r="D127" i="8" l="1"/>
  <c r="E127" i="8" l="1"/>
  <c r="F127" i="8" s="1"/>
  <c r="C128" i="8" s="1"/>
  <c r="D128" i="8" l="1"/>
  <c r="E128" i="8" l="1"/>
  <c r="F128" i="8" s="1"/>
  <c r="C129" i="8" s="1"/>
  <c r="D129" i="8" l="1"/>
  <c r="F129" i="8" s="1"/>
  <c r="C130" i="8" s="1"/>
  <c r="E129" i="8"/>
  <c r="D130" i="8" l="1"/>
  <c r="E130" i="8"/>
  <c r="F130" i="8"/>
  <c r="C131" i="8" s="1"/>
  <c r="D131" i="8" l="1"/>
  <c r="E131" i="8" s="1"/>
  <c r="F131" i="8" s="1"/>
  <c r="C132" i="8" s="1"/>
  <c r="D132" i="8" l="1"/>
  <c r="E132" i="8" l="1"/>
  <c r="F132" i="8" s="1"/>
  <c r="C133" i="8" s="1"/>
  <c r="D133" i="8" l="1"/>
  <c r="E133" i="8" l="1"/>
  <c r="F133" i="8" s="1"/>
  <c r="C134" i="8" s="1"/>
  <c r="D134" i="8" l="1"/>
  <c r="E134" i="8" l="1"/>
  <c r="F134" i="8" s="1"/>
  <c r="C135" i="8" s="1"/>
  <c r="D135" i="8" l="1"/>
  <c r="F135" i="8" s="1"/>
  <c r="C136" i="8" s="1"/>
  <c r="E135" i="8"/>
  <c r="D136" i="8" l="1"/>
  <c r="E136" i="8"/>
  <c r="F136" i="8" s="1"/>
  <c r="C137" i="8" s="1"/>
  <c r="D137" i="8" l="1"/>
  <c r="E137" i="8" s="1"/>
  <c r="F137" i="8" s="1"/>
  <c r="C138" i="8" s="1"/>
  <c r="D138" i="8" l="1"/>
  <c r="E138" i="8" l="1"/>
  <c r="F138" i="8" s="1"/>
  <c r="C139" i="8" s="1"/>
  <c r="D139" i="8" l="1"/>
  <c r="E139" i="8" l="1"/>
  <c r="F139" i="8" s="1"/>
  <c r="C140" i="8" s="1"/>
  <c r="D140" i="8" l="1"/>
  <c r="E140" i="8" l="1"/>
  <c r="F140" i="8" s="1"/>
  <c r="C141" i="8" s="1"/>
  <c r="D141" i="8" l="1"/>
  <c r="E141" i="8" l="1"/>
  <c r="F141" i="8" s="1"/>
  <c r="C142" i="8" s="1"/>
  <c r="D142" i="8" l="1"/>
  <c r="F142" i="8"/>
  <c r="C143" i="8" s="1"/>
  <c r="E142" i="8"/>
  <c r="D143" i="8" l="1"/>
  <c r="E143" i="8" s="1"/>
  <c r="F143" i="8" s="1"/>
  <c r="C144" i="8" s="1"/>
  <c r="D144" i="8" l="1"/>
  <c r="E144" i="8" l="1"/>
  <c r="F144" i="8" s="1"/>
  <c r="C145" i="8" s="1"/>
  <c r="D145" i="8" l="1"/>
  <c r="E145" i="8" l="1"/>
  <c r="F145" i="8" s="1"/>
  <c r="C146" i="8" s="1"/>
  <c r="D146" i="8" l="1"/>
  <c r="E146" i="8" l="1"/>
  <c r="F146" i="8" s="1"/>
  <c r="C147" i="8" s="1"/>
  <c r="D147" i="8" l="1"/>
  <c r="E147" i="8" l="1"/>
  <c r="F147" i="8" s="1"/>
  <c r="C148" i="8" s="1"/>
  <c r="D148" i="8" l="1"/>
  <c r="E148" i="8"/>
  <c r="F148" i="8" s="1"/>
  <c r="C149" i="8" s="1"/>
  <c r="D149" i="8" l="1"/>
  <c r="E149" i="8" s="1"/>
  <c r="F149" i="8" s="1"/>
  <c r="C150" i="8" s="1"/>
  <c r="D150" i="8" l="1"/>
  <c r="F150" i="8" l="1"/>
  <c r="C151" i="8" s="1"/>
  <c r="E150" i="8"/>
  <c r="D151" i="8" l="1"/>
  <c r="E151" i="8" l="1"/>
  <c r="F151" i="8" s="1"/>
  <c r="C152" i="8" s="1"/>
  <c r="D152" i="8" l="1"/>
  <c r="E152" i="8" l="1"/>
  <c r="F152" i="8" s="1"/>
  <c r="C153" i="8" s="1"/>
  <c r="D153" i="8" l="1"/>
  <c r="E153" i="8" l="1"/>
  <c r="F153" i="8" s="1"/>
  <c r="C154" i="8" s="1"/>
  <c r="D154" i="8" l="1"/>
  <c r="E154" i="8"/>
  <c r="F154" i="8" s="1"/>
  <c r="C155" i="8" s="1"/>
  <c r="D155" i="8" l="1"/>
  <c r="E155" i="8" s="1"/>
  <c r="F155" i="8" s="1"/>
  <c r="C156" i="8" s="1"/>
  <c r="D156" i="8" l="1"/>
  <c r="E156" i="8" l="1"/>
  <c r="F156" i="8" s="1"/>
  <c r="C157" i="8" s="1"/>
  <c r="D157" i="8" l="1"/>
  <c r="E157" i="8" l="1"/>
  <c r="F157" i="8" s="1"/>
  <c r="C158" i="8" s="1"/>
  <c r="D158" i="8" l="1"/>
  <c r="E158" i="8" l="1"/>
  <c r="F158" i="8" s="1"/>
  <c r="C159" i="8" s="1"/>
  <c r="D159" i="8" l="1"/>
  <c r="E159" i="8" l="1"/>
  <c r="F159" i="8" s="1"/>
  <c r="C160" i="8" s="1"/>
  <c r="D160" i="8" l="1"/>
  <c r="E160" i="8"/>
  <c r="F160" i="8" s="1"/>
  <c r="C161" i="8" s="1"/>
  <c r="D161" i="8" l="1"/>
  <c r="E161" i="8" s="1"/>
  <c r="F161" i="8" s="1"/>
  <c r="C162" i="8" s="1"/>
  <c r="D162" i="8" l="1"/>
  <c r="E162" i="8" l="1"/>
  <c r="F162" i="8" s="1"/>
  <c r="C163" i="8" s="1"/>
  <c r="D163" i="8" l="1"/>
  <c r="E163" i="8" l="1"/>
  <c r="F163" i="8" s="1"/>
  <c r="C164" i="8" s="1"/>
  <c r="D164" i="8" l="1"/>
  <c r="E164" i="8" l="1"/>
  <c r="F164" i="8" s="1"/>
  <c r="C165" i="8" s="1"/>
  <c r="D165" i="8" l="1"/>
  <c r="E165" i="8" l="1"/>
  <c r="F165" i="8" s="1"/>
  <c r="C166" i="8" s="1"/>
  <c r="D166" i="8" l="1"/>
  <c r="E166" i="8"/>
  <c r="F166" i="8" s="1"/>
  <c r="C167" i="8" s="1"/>
  <c r="D167" i="8" l="1"/>
  <c r="E167" i="8" s="1"/>
  <c r="F167" i="8" s="1"/>
  <c r="C168" i="8" s="1"/>
  <c r="D168" i="8" l="1"/>
  <c r="F168" i="8" l="1"/>
  <c r="C169" i="8" s="1"/>
  <c r="E168" i="8"/>
  <c r="D169" i="8" l="1"/>
  <c r="E169" i="8" l="1"/>
  <c r="F169" i="8" s="1"/>
  <c r="C170" i="8" s="1"/>
  <c r="D170" i="8" l="1"/>
  <c r="E170" i="8" l="1"/>
  <c r="F170" i="8" s="1"/>
  <c r="C171" i="8" s="1"/>
  <c r="D171" i="8" l="1"/>
  <c r="E171" i="8" s="1"/>
  <c r="F171" i="8" s="1"/>
  <c r="C172" i="8" s="1"/>
  <c r="D172" i="8" l="1"/>
  <c r="E172" i="8"/>
  <c r="F172" i="8" s="1"/>
  <c r="C173" i="8" s="1"/>
  <c r="E173" i="8" l="1"/>
  <c r="F173" i="8" s="1"/>
  <c r="C174" i="8" s="1"/>
  <c r="D173" i="8"/>
  <c r="D174" i="8" l="1"/>
  <c r="E174" i="8" l="1"/>
  <c r="F174" i="8" s="1"/>
  <c r="C175" i="8" s="1"/>
  <c r="D175" i="8" l="1"/>
  <c r="E175" i="8" l="1"/>
  <c r="F175" i="8" s="1"/>
  <c r="C176" i="8" s="1"/>
  <c r="D176" i="8" l="1"/>
  <c r="F176" i="8" l="1"/>
  <c r="C177" i="8" s="1"/>
  <c r="E176" i="8"/>
  <c r="D177" i="8" l="1"/>
  <c r="E177" i="8" l="1"/>
  <c r="F177" i="8" s="1"/>
  <c r="C178" i="8" s="1"/>
  <c r="D178" i="8" l="1"/>
  <c r="F178" i="8"/>
  <c r="C179" i="8" s="1"/>
  <c r="E178" i="8"/>
  <c r="D179" i="8" l="1"/>
  <c r="E179" i="8" s="1"/>
  <c r="F179" i="8" s="1"/>
  <c r="C180" i="8" s="1"/>
  <c r="D180" i="8" l="1"/>
  <c r="F180" i="8" l="1"/>
  <c r="C181" i="8" s="1"/>
  <c r="E180" i="8"/>
  <c r="D181" i="8" l="1"/>
  <c r="E181" i="8" s="1"/>
  <c r="F181" i="8" s="1"/>
  <c r="C182" i="8" s="1"/>
  <c r="D182" i="8" l="1"/>
  <c r="E182" i="8" l="1"/>
  <c r="F182" i="8" s="1"/>
  <c r="C183" i="8" s="1"/>
  <c r="D183" i="8" l="1"/>
  <c r="E183" i="8" l="1"/>
  <c r="F183" i="8" s="1"/>
  <c r="C184" i="8" s="1"/>
  <c r="D184" i="8" l="1"/>
  <c r="E184" i="8"/>
  <c r="F184" i="8" s="1"/>
  <c r="C185" i="8" s="1"/>
  <c r="D185" i="8" l="1"/>
  <c r="E185" i="8" s="1"/>
  <c r="F185" i="8" l="1"/>
  <c r="C186" i="8" s="1"/>
  <c r="D186" i="8" l="1"/>
  <c r="E186" i="8" l="1"/>
  <c r="F186" i="8" s="1"/>
  <c r="C187" i="8" s="1"/>
  <c r="D187" i="8" l="1"/>
  <c r="E187" i="8" l="1"/>
  <c r="F187" i="8" s="1"/>
  <c r="C188" i="8" s="1"/>
  <c r="D188" i="8" l="1"/>
  <c r="E188" i="8" l="1"/>
  <c r="F188" i="8" s="1"/>
  <c r="C189" i="8" s="1"/>
  <c r="D189" i="8" l="1"/>
  <c r="E189" i="8" l="1"/>
  <c r="F189" i="8" s="1"/>
  <c r="C190" i="8" s="1"/>
  <c r="D190" i="8" l="1"/>
  <c r="E190" i="8"/>
  <c r="F190" i="8" s="1"/>
  <c r="C191" i="8" s="1"/>
  <c r="D191" i="8" l="1"/>
  <c r="E191" i="8" s="1"/>
  <c r="F191" i="8" s="1"/>
  <c r="C192" i="8" s="1"/>
  <c r="D192" i="8" l="1"/>
  <c r="E192" i="8" l="1"/>
  <c r="F192" i="8" s="1"/>
  <c r="C193" i="8" s="1"/>
  <c r="D193" i="8" l="1"/>
  <c r="E193" i="8" l="1"/>
  <c r="F193" i="8" s="1"/>
  <c r="C194" i="8" s="1"/>
  <c r="D194" i="8" l="1"/>
  <c r="E194" i="8" l="1"/>
  <c r="F194" i="8" s="1"/>
  <c r="C195" i="8" s="1"/>
  <c r="D195" i="8" l="1"/>
  <c r="E195" i="8" l="1"/>
  <c r="F195" i="8" s="1"/>
  <c r="C196" i="8" s="1"/>
  <c r="D196" i="8" l="1"/>
  <c r="E196" i="8"/>
  <c r="F196" i="8" s="1"/>
  <c r="C197" i="8" s="1"/>
  <c r="D197" i="8" l="1"/>
  <c r="E197" i="8" s="1"/>
  <c r="F197" i="8" s="1"/>
  <c r="C198" i="8" s="1"/>
  <c r="D198" i="8" l="1"/>
  <c r="C15" i="4"/>
  <c r="C16" i="4" s="1"/>
  <c r="B25" i="3"/>
  <c r="E12" i="2"/>
  <c r="E11" i="2"/>
  <c r="E10" i="2"/>
  <c r="E9" i="2"/>
  <c r="E8" i="2"/>
  <c r="E7" i="2"/>
  <c r="E6" i="2"/>
  <c r="D33" i="1" a="1"/>
  <c r="D33" i="1" s="1"/>
  <c r="D31" i="1"/>
  <c r="D27" i="1"/>
  <c r="E49" i="1"/>
  <c r="I48" i="1"/>
  <c r="E48" i="1"/>
  <c r="I47" i="1"/>
  <c r="E47" i="1"/>
  <c r="I46" i="1"/>
  <c r="E46" i="1"/>
  <c r="I45" i="1"/>
  <c r="E45" i="1"/>
  <c r="D26" i="1"/>
  <c r="D25" i="1"/>
  <c r="H22" i="1"/>
  <c r="H21" i="1"/>
  <c r="H20" i="1"/>
  <c r="H19" i="1"/>
  <c r="H18" i="1"/>
  <c r="H17" i="1"/>
  <c r="H16" i="1"/>
  <c r="H15" i="1"/>
  <c r="H14" i="1"/>
  <c r="H13" i="1"/>
  <c r="H12" i="1"/>
  <c r="E198" i="8" l="1"/>
  <c r="D8" i="8" s="1"/>
  <c r="E37" i="1"/>
  <c r="E7" i="8" l="1"/>
  <c r="E5" i="8"/>
  <c r="E6" i="8"/>
  <c r="F198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<sst xmlns="http://schemas.openxmlformats.org/spreadsheetml/2006/main" count="512" uniqueCount="289">
  <si>
    <t>Excel has several lookup functions, which can be used to find a search term in a reference table and return a corresponding value.</t>
  </si>
  <si>
    <t>For example, these functions could be used to:</t>
  </si>
  <si>
    <t xml:space="preserve"> - Look up exchange rates based on dates</t>
  </si>
  <si>
    <t xml:space="preserve"> - Look up employee details based on an ID number</t>
  </si>
  <si>
    <t xml:space="preserve"> - Look up prior year balances based on an account number</t>
  </si>
  <si>
    <r>
      <t xml:space="preserve">In each case, these functions are only appropriate where a </t>
    </r>
    <r>
      <rPr>
        <b/>
        <sz val="11"/>
        <color theme="1"/>
        <rFont val="Arial"/>
        <family val="2"/>
      </rPr>
      <t>unique</t>
    </r>
    <r>
      <rPr>
        <sz val="11"/>
        <color theme="1"/>
        <rFont val="Arial"/>
        <family val="2"/>
      </rPr>
      <t xml:space="preserve"> identifier is available.</t>
    </r>
  </si>
  <si>
    <t>The most commonly used function is VLOOKUP, but I recommend INDEX MATCH as a superior alternative.</t>
  </si>
  <si>
    <t>Given name</t>
  </si>
  <si>
    <t>Family name</t>
  </si>
  <si>
    <t>Order number</t>
  </si>
  <si>
    <t>Order value</t>
  </si>
  <si>
    <t>Delivery date</t>
  </si>
  <si>
    <t>Lookup field</t>
  </si>
  <si>
    <t>Jackie</t>
  </si>
  <si>
    <t>Lee</t>
  </si>
  <si>
    <t>Melissa</t>
  </si>
  <si>
    <t>De Tora</t>
  </si>
  <si>
    <t>Mike</t>
  </si>
  <si>
    <t>Sigrist</t>
  </si>
  <si>
    <t>Flores</t>
  </si>
  <si>
    <t>Owen</t>
  </si>
  <si>
    <t>Turtenwald</t>
  </si>
  <si>
    <t>Luis</t>
  </si>
  <si>
    <t>Scott-Vargas</t>
  </si>
  <si>
    <t>Christine</t>
  </si>
  <si>
    <t>Sprankle</t>
  </si>
  <si>
    <t>Olivier</t>
  </si>
  <si>
    <t>Ruel</t>
  </si>
  <si>
    <t>Brian</t>
  </si>
  <si>
    <t>Kibler</t>
  </si>
  <si>
    <t>Antoine</t>
  </si>
  <si>
    <t>Brad</t>
  </si>
  <si>
    <t>Nelson</t>
  </si>
  <si>
    <t>Both functions rely on unique identifiers, but INDEX MATCH is more flexible, more resilient, and faster to calculate.</t>
  </si>
  <si>
    <t>If no unique identifier is available, sometimes one can be made by combining one or more columns.</t>
  </si>
  <si>
    <t>MATCH has three options for its third input.</t>
  </si>
  <si>
    <t>0 finds exact matches.  The list can be in any order.</t>
  </si>
  <si>
    <t>1 finds the closest match without going over; the list must be in ascending order</t>
  </si>
  <si>
    <t>-1 finds the closest match without going under; the list must be in descending order</t>
  </si>
  <si>
    <t>Grade</t>
  </si>
  <si>
    <t>From</t>
  </si>
  <si>
    <t>To</t>
  </si>
  <si>
    <t>Student</t>
  </si>
  <si>
    <t>Score</t>
  </si>
  <si>
    <t>U</t>
  </si>
  <si>
    <t>Abigail</t>
  </si>
  <si>
    <t>D</t>
  </si>
  <si>
    <t>Becky</t>
  </si>
  <si>
    <t>C</t>
  </si>
  <si>
    <t>Charles</t>
  </si>
  <si>
    <t>B</t>
  </si>
  <si>
    <t>Dan</t>
  </si>
  <si>
    <t>A</t>
  </si>
  <si>
    <t>A*</t>
  </si>
  <si>
    <t>=VLOOKUP(C25,E12:H22,2,FALSE)</t>
  </si>
  <si>
    <t>=INDEX(F12:F22,MATCH(C25,E12:E22,0))</t>
  </si>
  <si>
    <t>=XLOOKUP(C25,E12:E22,F12:F22)</t>
  </si>
  <si>
    <t>&lt; This function is only in Microsoft 365</t>
  </si>
  <si>
    <t>MATCH can find which position number a search term appears in a list:</t>
  </si>
  <si>
    <t>And INDEX can return the data from a given position in another list:</t>
  </si>
  <si>
    <t>An Excel Table is a special kind of formatting that adds a lot of powerful functionality to a bank of data.</t>
  </si>
  <si>
    <t>They are a powerful tool for making a workbook easy to update and robust.</t>
  </si>
  <si>
    <t>Item</t>
  </si>
  <si>
    <t>Cost</t>
  </si>
  <si>
    <t>Stock</t>
  </si>
  <si>
    <t>Value</t>
  </si>
  <si>
    <t>Best before</t>
  </si>
  <si>
    <t>Location</t>
  </si>
  <si>
    <t>Apple</t>
  </si>
  <si>
    <t>Warehouse A</t>
  </si>
  <si>
    <t>Banana</t>
  </si>
  <si>
    <t>Cherry</t>
  </si>
  <si>
    <t>Date</t>
  </si>
  <si>
    <t>Warehouse B</t>
  </si>
  <si>
    <t>Elderberry</t>
  </si>
  <si>
    <t>Warehouse C</t>
  </si>
  <si>
    <t>Fig</t>
  </si>
  <si>
    <t>Gooseberry</t>
  </si>
  <si>
    <t>Warehouse D</t>
  </si>
  <si>
    <t>Tables require column headings to use; if your data doesn't have any, a header row will be added for you.</t>
  </si>
  <si>
    <t>Select any cell within the array you want to make into a Table.  Then select 'Format as Table' from the Home tab of the Ribbon and pick of the predesigned styles.</t>
  </si>
  <si>
    <t>Tables automatically expand to include new data.  Try typing "Orange" in A12 and see what happens when you press Enter.</t>
  </si>
  <si>
    <t>The table will add a new row and copy the formula in the 'Value' column down.  If you fill in cells B12 and C12 you should see that the formatting is also extended.</t>
  </si>
  <si>
    <t>This works with horizontal expansion as well - try adding some data in G5 and you will see a new column is added automatically.</t>
  </si>
  <si>
    <t>If you type a formula in your new column, it should automatically be copied into every row in that column.</t>
  </si>
  <si>
    <t>When you select a cell within a Table, you should see a "Table Options" menu be added to the Ribbon.  From this menu you can choose a new name for the table.  Change the name to 'Fruit'.</t>
  </si>
  <si>
    <t>=COUNTA(Fruit)</t>
  </si>
  <si>
    <t>You can write formulas which refer to the name of the Table, such as:</t>
  </si>
  <si>
    <t>=SUM(Fruit[Value])</t>
  </si>
  <si>
    <t>You can use square brackets to refer to just a part of the Table, such as:</t>
  </si>
  <si>
    <t>=[@Cost]</t>
  </si>
  <si>
    <t>You can write a formula which refers to "this row" of a Table, i.e. the same row as the formula:</t>
  </si>
  <si>
    <t>Because of the automatic growth ability of Tables, these formulas will always include all the original data.  That makes Tables a powerful future-proofing tool.</t>
  </si>
  <si>
    <t>Cells that are above average highlighted in red.</t>
  </si>
  <si>
    <t>Cell colour corresponds to relative size compared to other values.</t>
  </si>
  <si>
    <t>Red flags for low values</t>
  </si>
  <si>
    <t>The top 5 values are highlighted yellow</t>
  </si>
  <si>
    <t>In-cell bar chart - try adjusting column width to see what happens</t>
  </si>
  <si>
    <t>Example Ltd</t>
  </si>
  <si>
    <t>Duplicated names are italicised.  Note how Ltd and Limited are treated differently</t>
  </si>
  <si>
    <t>Real Co LLP</t>
  </si>
  <si>
    <t>Example Limited</t>
  </si>
  <si>
    <t>Simple Ltd</t>
  </si>
  <si>
    <t>Client plc</t>
  </si>
  <si>
    <t>Target B.V.</t>
  </si>
  <si>
    <t>Boxes will appear around any dates which are in the past.  This updates in real time every time you open the workbook.
This is accomplished using a custom formula instead of a preset conditional format.</t>
  </si>
  <si>
    <t>Conditional formats can be inspected, amended, added, and removed from Home =&gt; Conditional Formatting =&gt; Manage Rules.</t>
  </si>
  <si>
    <t>Using consistent cell formats for categories of cells such as inputs and outputs can make a workbook much more readable, but applying these manually can be tricky.</t>
  </si>
  <si>
    <t>Cell styles have two key advantages:</t>
  </si>
  <si>
    <t xml:space="preserve"> - They let you apply a whole set of formats (including fill colour, text colour, bold, number styling, etc.) at once; and</t>
  </si>
  <si>
    <t xml:space="preserve"> - They can be amended from the Ribbon and the changes will be applied to all relevant cells instantly.</t>
  </si>
  <si>
    <t>Cell styles can be accessed from the Home Ribbon.</t>
  </si>
  <si>
    <t>Input format</t>
  </si>
  <si>
    <t>Calculations format</t>
  </si>
  <si>
    <t>Output format</t>
  </si>
  <si>
    <t>Capital amount of the loan:</t>
  </si>
  <si>
    <t>Repayment size:</t>
  </si>
  <si>
    <t>Interest rate:</t>
  </si>
  <si>
    <t>Time to repayment / months:</t>
  </si>
  <si>
    <t>Total interest paid:</t>
  </si>
  <si>
    <t>The data set below shows some basic cashflows for a project, with a calculation to a net present value (NPV) which shows the final cost / benefit of the project.</t>
  </si>
  <si>
    <t>There are a number of input (blue) cells, which flow through the data and produce a number the final output - the net present value (orange cell).</t>
  </si>
  <si>
    <t>We can use Goal Seek to manipulate this data and see how changes to the inputs affect the NPV.</t>
  </si>
  <si>
    <t>Growth in cash flows:</t>
  </si>
  <si>
    <t>Discount factor:</t>
  </si>
  <si>
    <t>Year</t>
  </si>
  <si>
    <t>Asset purchase</t>
  </si>
  <si>
    <t>Scrappage value</t>
  </si>
  <si>
    <t>Maintenance costs</t>
  </si>
  <si>
    <t>Cash flows</t>
  </si>
  <si>
    <t>Net value</t>
  </si>
  <si>
    <t>NET PRESENT VALUE:</t>
  </si>
  <si>
    <t>To find the discount factor needed for a nil NPV (i.e. the internal rate of return):</t>
  </si>
  <si>
    <t>Go to the Data tab on the Ribbon and select the What-If Analysis menu, then select Goal Seek.</t>
  </si>
  <si>
    <t>Choose to set cell D18 to the value 0, varying the input cell D8.</t>
  </si>
  <si>
    <t>Goal seek will find the value that causes the NPV to equal zero.</t>
  </si>
  <si>
    <t>Now - reset the discount rate to 10% and try these problems (remember to reset all other variables to their original values each time!):</t>
  </si>
  <si>
    <t>What discount factor gives an NPV of 5,000 ?</t>
  </si>
  <si>
    <t>What growth in cash flows gives an NPV of 2,000 ?</t>
  </si>
  <si>
    <t>What asset purchase price gives an NPV of 0 ?</t>
  </si>
  <si>
    <t>What initial cash flow in year 2 leads to an NPV of -5000 ?</t>
  </si>
  <si>
    <t>&lt; When you're ready for the answers, press the + to show them</t>
  </si>
  <si>
    <t>Below is an example of a calculation that can be analysed with a data table.</t>
  </si>
  <si>
    <t>It's a mortgage calculator.</t>
  </si>
  <si>
    <t>Don't worry too much about how it works - the ability of a data table to simplify the sensitivity analysis is what's important.</t>
  </si>
  <si>
    <r>
      <t xml:space="preserve">Below are the layouts we will use for two different kinds of sensitivity analysis.  In each case, we will measure the effect on the </t>
    </r>
    <r>
      <rPr>
        <b/>
        <sz val="11"/>
        <color theme="1"/>
        <rFont val="Arial"/>
        <family val="2"/>
      </rPr>
      <t>time to repay.</t>
    </r>
  </si>
  <si>
    <t>Variable interest rates</t>
  </si>
  <si>
    <t>Variable interest rates and repayment sizes</t>
  </si>
  <si>
    <t>You can try adding the data tables yourself on the above examples.</t>
  </si>
  <si>
    <t>The range to select is marked with a thick black box border.</t>
  </si>
  <si>
    <t>The row / column input cells to select are highlighted above in the original calculation.</t>
  </si>
  <si>
    <t>Advanced Filter and database functions both use an unusual format of filter laid out in rows to manipulate data.</t>
  </si>
  <si>
    <t>Approval limits are as follows:</t>
  </si>
  <si>
    <t>They are useful for creating complex filter conditions that can be applied to data or when creating summaries.</t>
  </si>
  <si>
    <t>Limit</t>
  </si>
  <si>
    <t>Approver</t>
  </si>
  <si>
    <t>Haran</t>
  </si>
  <si>
    <t>Conditions are written as a column heading and then a condition.</t>
  </si>
  <si>
    <t>Fermat</t>
  </si>
  <si>
    <t>Conditions on the same row are cumulative ("and"); ones on different rows are optional ("or").</t>
  </si>
  <si>
    <t>Euler</t>
  </si>
  <si>
    <t>Gauss</t>
  </si>
  <si>
    <t>Here is an example filter:</t>
  </si>
  <si>
    <t>Vendor</t>
  </si>
  <si>
    <t>Invoice amount</t>
  </si>
  <si>
    <t>Riemann Brothers</t>
  </si>
  <si>
    <t>&gt;5000</t>
  </si>
  <si>
    <t>Compare this similar filter:</t>
  </si>
  <si>
    <t>All database functions are named with a D and then a familiar function name, e.g. DSUM.  The only exception is lookup function DGET.</t>
  </si>
  <si>
    <t>Invoice date</t>
  </si>
  <si>
    <t>Invoice number</t>
  </si>
  <si>
    <t>Approver name</t>
  </si>
  <si>
    <t>PNP plc</t>
  </si>
  <si>
    <t>PNP001</t>
  </si>
  <si>
    <t>RIB001</t>
  </si>
  <si>
    <t>ABC Conjected</t>
  </si>
  <si>
    <t>ABC001</t>
  </si>
  <si>
    <t>RIB002</t>
  </si>
  <si>
    <t>RIB003</t>
  </si>
  <si>
    <t>Strong &amp; Goldbach LLP</t>
  </si>
  <si>
    <t>SGL001</t>
  </si>
  <si>
    <t>Twin Prime Real Estate</t>
  </si>
  <si>
    <t>TPR001</t>
  </si>
  <si>
    <t>TPR002</t>
  </si>
  <si>
    <t>SGL002</t>
  </si>
  <si>
    <t>RIB004</t>
  </si>
  <si>
    <t>SGL003</t>
  </si>
  <si>
    <t>RIB005</t>
  </si>
  <si>
    <t>PNP002</t>
  </si>
  <si>
    <t>RIB006</t>
  </si>
  <si>
    <t>RIB007</t>
  </si>
  <si>
    <t>TPR003</t>
  </si>
  <si>
    <t>SGL004</t>
  </si>
  <si>
    <t>RIB008</t>
  </si>
  <si>
    <t>ABC002</t>
  </si>
  <si>
    <t>RIB009</t>
  </si>
  <si>
    <t>RIB010</t>
  </si>
  <si>
    <t>TPR004</t>
  </si>
  <si>
    <t>SGL005</t>
  </si>
  <si>
    <t>PNP003</t>
  </si>
  <si>
    <t>SGL006</t>
  </si>
  <si>
    <t>PNP004</t>
  </si>
  <si>
    <t>ABC003</t>
  </si>
  <si>
    <t>SGL007</t>
  </si>
  <si>
    <t>TPR005</t>
  </si>
  <si>
    <t>SGL008</t>
  </si>
  <si>
    <t>RIB011</t>
  </si>
  <si>
    <t>PNP005</t>
  </si>
  <si>
    <t>SGL009</t>
  </si>
  <si>
    <t>ABC004</t>
  </si>
  <si>
    <t>SGL010</t>
  </si>
  <si>
    <t>PNP006</t>
  </si>
  <si>
    <t>ABC005</t>
  </si>
  <si>
    <t>RIB012</t>
  </si>
  <si>
    <t>ABC006</t>
  </si>
  <si>
    <t>TPR006</t>
  </si>
  <si>
    <t>SGL011</t>
  </si>
  <si>
    <t>ABC007</t>
  </si>
  <si>
    <t>RIB013</t>
  </si>
  <si>
    <t>SGL012</t>
  </si>
  <si>
    <t>RIB014</t>
  </si>
  <si>
    <t>ABC008</t>
  </si>
  <si>
    <t>ABC009</t>
  </si>
  <si>
    <t>RIB015</t>
  </si>
  <si>
    <t>TPR007</t>
  </si>
  <si>
    <t>ABC010</t>
  </si>
  <si>
    <t>RIB016</t>
  </si>
  <si>
    <t>SGL013</t>
  </si>
  <si>
    <t>PNP007</t>
  </si>
  <si>
    <t>ABC011</t>
  </si>
  <si>
    <t>SGL014</t>
  </si>
  <si>
    <t>PNP008</t>
  </si>
  <si>
    <t>ABC012</t>
  </si>
  <si>
    <t>TPR008</t>
  </si>
  <si>
    <t>ABC013</t>
  </si>
  <si>
    <t>ABC014</t>
  </si>
  <si>
    <t>ABC015</t>
  </si>
  <si>
    <t>PNP009</t>
  </si>
  <si>
    <t>SGL015</t>
  </si>
  <si>
    <t>TPR009</t>
  </si>
  <si>
    <t>PNP010</t>
  </si>
  <si>
    <t>PNP011</t>
  </si>
  <si>
    <t>TPR010</t>
  </si>
  <si>
    <t>SGL016</t>
  </si>
  <si>
    <t>ABC016</t>
  </si>
  <si>
    <t>SGL017</t>
  </si>
  <si>
    <t>RIB017</t>
  </si>
  <si>
    <t>ABC017</t>
  </si>
  <si>
    <t>SGL018</t>
  </si>
  <si>
    <t>ABC018</t>
  </si>
  <si>
    <t>TPR011</t>
  </si>
  <si>
    <t>SGL019</t>
  </si>
  <si>
    <t>RIB018</t>
  </si>
  <si>
    <t>SGL020</t>
  </si>
  <si>
    <t>RIB019</t>
  </si>
  <si>
    <t>PNP012</t>
  </si>
  <si>
    <t>PNP013</t>
  </si>
  <si>
    <t>SGL021</t>
  </si>
  <si>
    <t>RIB020</t>
  </si>
  <si>
    <t>TPR012</t>
  </si>
  <si>
    <t>RIB021</t>
  </si>
  <si>
    <t>RIB022</t>
  </si>
  <si>
    <t>TPR013</t>
  </si>
  <si>
    <t>ABC019</t>
  </si>
  <si>
    <t>TPR014</t>
  </si>
  <si>
    <t>TPR015</t>
  </si>
  <si>
    <t>RIB023</t>
  </si>
  <si>
    <t>RIB024</t>
  </si>
  <si>
    <t>PNP014</t>
  </si>
  <si>
    <t>SGL022</t>
  </si>
  <si>
    <t>TPR016</t>
  </si>
  <si>
    <t>ABC020</t>
  </si>
  <si>
    <t>TPR017</t>
  </si>
  <si>
    <t>RIB025</t>
  </si>
  <si>
    <t>PNP015</t>
  </si>
  <si>
    <t>ABC021</t>
  </si>
  <si>
    <t>You can describe any loan with four key metrics, often remembered by the acronym 'PAIN'.</t>
  </si>
  <si>
    <t>However, if you have any three of these, you can use Excel to calculate the fourth.</t>
  </si>
  <si>
    <t>Table calculation</t>
  </si>
  <si>
    <t>Direct calculation</t>
  </si>
  <si>
    <t>Principle amount:</t>
  </si>
  <si>
    <r>
      <t xml:space="preserve">Amount of </t>
    </r>
    <r>
      <rPr>
        <b/>
        <sz val="11"/>
        <color theme="1"/>
        <rFont val="Arial"/>
        <family val="2"/>
      </rPr>
      <t>monthly</t>
    </r>
    <r>
      <rPr>
        <sz val="11"/>
        <color theme="1"/>
        <rFont val="Arial"/>
        <family val="2"/>
      </rPr>
      <t xml:space="preserve"> repayment</t>
    </r>
    <r>
      <rPr>
        <sz val="11"/>
        <color theme="1"/>
        <rFont val="Arial"/>
        <family val="2"/>
      </rPr>
      <t>:</t>
    </r>
  </si>
  <si>
    <r>
      <t xml:space="preserve">Interest rate per </t>
    </r>
    <r>
      <rPr>
        <b/>
        <sz val="11"/>
        <color theme="1"/>
        <rFont val="Arial"/>
        <family val="2"/>
      </rPr>
      <t>annum</t>
    </r>
    <r>
      <rPr>
        <sz val="11"/>
        <color theme="1"/>
        <rFont val="Arial"/>
        <family val="2"/>
      </rPr>
      <t>:</t>
    </r>
  </si>
  <si>
    <t>Number of repayments:</t>
  </si>
  <si>
    <t>Period</t>
  </si>
  <si>
    <t>Opening balance</t>
  </si>
  <si>
    <t>Interest</t>
  </si>
  <si>
    <t>Repayment</t>
  </si>
  <si>
    <t>Closing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</si>
</sst>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£&quot;#,##0;[Red]\-&quot;£&quot;#,##0"/>
    <numFmt numFmtId="8" formatCode="&quot;£&quot;#,##0.00;[Red]\-&quot;£&quot;#,##0.00"/>
    <numFmt numFmtId="44" formatCode="_-&quot;£&quot;* #,##0.00_-;\-&quot;£&quot;* #,##0.00_-;_-&quot;£&quot;* &quot;-&quot;??_-;_-@_-"/>
    <numFmt numFmtId="164" formatCode="[$$-409]#,##0.00"/>
    <numFmt numFmtId="165" formatCode="&quot;£&quot;#,##0"/>
    <numFmt numFmtId="166" formatCode="0.0"/>
    <numFmt numFmtId="167" formatCode="0.000%"/>
    <numFmt numFmtId="168" formatCode="#,##0\ ;\(#,##0\);\–\ "/>
  </numFmts>
  <fonts count="12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sz val="10"/>
      <color theme="1"/>
      <name val="Trebuchet MS"/>
      <family val="2"/>
    </font>
    <font>
      <b/>
      <sz val="10"/>
      <name val="Trebuchet MS"/>
      <family val="2"/>
    </font>
    <font>
      <sz val="10"/>
      <name val="Trebuchet MS"/>
      <family val="2"/>
    </font>
    <font>
      <b/>
      <sz val="10"/>
      <color theme="1"/>
      <name val="Trebuchet MS"/>
      <family val="2"/>
    </font>
    <font>
      <i/>
      <sz val="10"/>
      <color theme="1"/>
      <name val="Trebuchet MS"/>
      <family val="2"/>
    </font>
  </fonts>
  <fills count="1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B0F0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3" borderId="2" applyNumberFormat="0" applyAlignment="0" applyProtection="0"/>
    <xf numFmtId="0" fontId="4" fillId="3" borderId="1" applyNumberFormat="0" applyAlignment="0" applyProtection="0"/>
    <xf numFmtId="0" fontId="6" fillId="0" borderId="0" applyNumberFormat="0" applyFill="0" applyBorder="0" applyAlignment="0" applyProtection="0"/>
    <xf numFmtId="0" fontId="7" fillId="0" borderId="0"/>
    <xf numFmtId="0" fontId="1" fillId="0" borderId="0"/>
  </cellStyleXfs>
  <cellXfs count="63">
    <xf numFmtId="0" fontId="0" fillId="0" borderId="0" xfId="0"/>
    <xf numFmtId="0" fontId="6" fillId="0" borderId="0" xfId="6"/>
    <xf numFmtId="0" fontId="5" fillId="0" borderId="0" xfId="0" applyFont="1"/>
    <xf numFmtId="44" fontId="0" fillId="0" borderId="0" xfId="1" applyFont="1"/>
    <xf numFmtId="14" fontId="0" fillId="0" borderId="0" xfId="0" applyNumberFormat="1"/>
    <xf numFmtId="0" fontId="0" fillId="0" borderId="3" xfId="0" applyBorder="1"/>
    <xf numFmtId="0" fontId="0" fillId="0" borderId="0" xfId="0" quotePrefix="1"/>
    <xf numFmtId="0" fontId="0" fillId="0" borderId="0" xfId="1" applyNumberFormat="1" applyFont="1"/>
    <xf numFmtId="0" fontId="7" fillId="0" borderId="0" xfId="7"/>
    <xf numFmtId="0" fontId="8" fillId="0" borderId="0" xfId="7" applyFont="1"/>
    <xf numFmtId="0" fontId="9" fillId="0" borderId="0" xfId="7" applyFont="1"/>
    <xf numFmtId="164" fontId="9" fillId="0" borderId="0" xfId="7" applyNumberFormat="1" applyFont="1" applyAlignment="1">
      <alignment horizontal="left"/>
    </xf>
    <xf numFmtId="0" fontId="9" fillId="0" borderId="0" xfId="7" applyFont="1" applyAlignment="1">
      <alignment horizontal="left" vertical="center"/>
    </xf>
    <xf numFmtId="14" fontId="9" fillId="0" borderId="0" xfId="7" applyNumberFormat="1" applyFont="1" applyAlignment="1">
      <alignment horizontal="left"/>
    </xf>
    <xf numFmtId="0" fontId="7" fillId="0" borderId="0" xfId="7" quotePrefix="1"/>
    <xf numFmtId="0" fontId="0" fillId="0" borderId="0" xfId="0" applyAlignment="1">
      <alignment vertical="center" wrapText="1"/>
    </xf>
    <xf numFmtId="0" fontId="2" fillId="2" borderId="1" xfId="3"/>
    <xf numFmtId="0" fontId="4" fillId="3" borderId="1" xfId="5"/>
    <xf numFmtId="0" fontId="3" fillId="3" borderId="2" xfId="4"/>
    <xf numFmtId="165" fontId="0" fillId="0" borderId="0" xfId="0" applyNumberFormat="1"/>
    <xf numFmtId="165" fontId="0" fillId="4" borderId="0" xfId="0" applyNumberFormat="1" applyFill="1"/>
    <xf numFmtId="10" fontId="0" fillId="5" borderId="0" xfId="0" applyNumberFormat="1" applyFill="1"/>
    <xf numFmtId="166" fontId="0" fillId="0" borderId="0" xfId="0" applyNumberFormat="1"/>
    <xf numFmtId="0" fontId="7" fillId="0" borderId="4" xfId="7" applyBorder="1"/>
    <xf numFmtId="0" fontId="7" fillId="0" borderId="5" xfId="7" applyBorder="1" applyAlignment="1">
      <alignment horizontal="right"/>
    </xf>
    <xf numFmtId="167" fontId="7" fillId="6" borderId="5" xfId="7" applyNumberFormat="1" applyFill="1" applyBorder="1"/>
    <xf numFmtId="0" fontId="7" fillId="0" borderId="5" xfId="7" applyBorder="1"/>
    <xf numFmtId="0" fontId="7" fillId="0" borderId="6" xfId="7" applyBorder="1"/>
    <xf numFmtId="0" fontId="7" fillId="0" borderId="7" xfId="7" applyBorder="1"/>
    <xf numFmtId="0" fontId="7" fillId="0" borderId="0" xfId="7" applyAlignment="1">
      <alignment horizontal="right"/>
    </xf>
    <xf numFmtId="167" fontId="7" fillId="6" borderId="0" xfId="7" applyNumberFormat="1" applyFill="1"/>
    <xf numFmtId="0" fontId="7" fillId="0" borderId="8" xfId="7" applyBorder="1"/>
    <xf numFmtId="0" fontId="10" fillId="0" borderId="0" xfId="7" applyFont="1"/>
    <xf numFmtId="168" fontId="7" fillId="6" borderId="0" xfId="7" applyNumberFormat="1" applyFill="1" applyAlignment="1">
      <alignment horizontal="right"/>
    </xf>
    <xf numFmtId="168" fontId="7" fillId="0" borderId="0" xfId="7" applyNumberFormat="1" applyAlignment="1">
      <alignment horizontal="right"/>
    </xf>
    <xf numFmtId="168" fontId="7" fillId="0" borderId="9" xfId="7" applyNumberFormat="1" applyBorder="1"/>
    <xf numFmtId="168" fontId="7" fillId="0" borderId="0" xfId="7" applyNumberFormat="1"/>
    <xf numFmtId="0" fontId="7" fillId="0" borderId="10" xfId="7" applyBorder="1"/>
    <xf numFmtId="0" fontId="7" fillId="0" borderId="11" xfId="7" applyBorder="1"/>
    <xf numFmtId="0" fontId="7" fillId="0" borderId="12" xfId="7" applyBorder="1"/>
    <xf numFmtId="0" fontId="11" fillId="0" borderId="0" xfId="7" applyFont="1"/>
    <xf numFmtId="10" fontId="7" fillId="0" borderId="0" xfId="2" applyNumberFormat="1" applyFont="1" applyFill="1"/>
    <xf numFmtId="0" fontId="0" fillId="0" borderId="4" xfId="0" applyBorder="1"/>
    <xf numFmtId="166" fontId="0" fillId="8" borderId="6" xfId="0" applyNumberFormat="1" applyFill="1" applyBorder="1"/>
    <xf numFmtId="166" fontId="0" fillId="8" borderId="4" xfId="0" applyNumberFormat="1" applyFill="1" applyBorder="1"/>
    <xf numFmtId="165" fontId="0" fillId="4" borderId="5" xfId="0" applyNumberFormat="1" applyFill="1" applyBorder="1"/>
    <xf numFmtId="165" fontId="0" fillId="4" borderId="6" xfId="0" applyNumberFormat="1" applyFill="1" applyBorder="1"/>
    <xf numFmtId="10" fontId="0" fillId="5" borderId="7" xfId="0" applyNumberFormat="1" applyFill="1" applyBorder="1"/>
    <xf numFmtId="0" fontId="0" fillId="9" borderId="8" xfId="0" applyFill="1" applyBorder="1"/>
    <xf numFmtId="0" fontId="0" fillId="9" borderId="0" xfId="0" applyFill="1"/>
    <xf numFmtId="10" fontId="0" fillId="5" borderId="10" xfId="0" applyNumberFormat="1" applyFill="1" applyBorder="1"/>
    <xf numFmtId="0" fontId="0" fillId="9" borderId="12" xfId="0" applyFill="1" applyBorder="1"/>
    <xf numFmtId="0" fontId="0" fillId="9" borderId="11" xfId="0" applyFill="1" applyBorder="1"/>
    <xf numFmtId="0" fontId="1" fillId="0" borderId="0" xfId="8"/>
    <xf numFmtId="0" fontId="5" fillId="0" borderId="0" xfId="8" applyFont="1"/>
    <xf numFmtId="165" fontId="1" fillId="0" borderId="0" xfId="8" applyNumberFormat="1"/>
    <xf numFmtId="0" fontId="0" fillId="0" borderId="0" xfId="8" applyFont="1"/>
    <xf numFmtId="10" fontId="1" fillId="0" borderId="0" xfId="8" applyNumberFormat="1"/>
    <xf numFmtId="2" fontId="1" fillId="0" borderId="0" xfId="8" applyNumberFormat="1"/>
    <xf numFmtId="8" fontId="1" fillId="0" borderId="0" xfId="8" applyNumberFormat="1"/>
    <xf numFmtId="0" fontId="0" fillId="0" borderId="0" xfId="0" applyAlignment="1">
      <alignment horizontal="left" vertical="center" wrapText="1"/>
    </xf>
    <xf numFmtId="0" fontId="10" fillId="0" borderId="0" xfId="7" applyFont="1" applyAlignment="1">
      <alignment horizontal="center"/>
    </xf>
    <xf numFmtId="6" fontId="7" fillId="7" borderId="0" xfId="1" applyNumberFormat="1" applyFont="1" applyFill="1" applyBorder="1"/>
  </cellXfs>
  <cellStyles count="9">
    <cellStyle name="Calculation" xfId="5" builtinId="22"/>
    <cellStyle name="Currency" xfId="1" builtinId="4"/>
    <cellStyle name="Hyperlink" xfId="6" builtinId="8"/>
    <cellStyle name="Input" xfId="3" builtinId="20"/>
    <cellStyle name="Normal" xfId="0" builtinId="0"/>
    <cellStyle name="Normal 2 2 2" xfId="7" xr:uid="{C9C1A8A2-DA31-4B3D-8BF0-0059388E8217}"/>
    <cellStyle name="Normal 3" xfId="8" xr:uid="{74833AE4-C625-4BE6-8C6B-8AB31AC88465}"/>
    <cellStyle name="Output" xfId="4" builtinId="21"/>
    <cellStyle name="Percent" xfId="2" builtinId="5"/>
  </cellStyles>
  <dxfs count="1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/>
      </font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numFmt numFmtId="12" formatCode="&quot;£&quot;#,##0.00;[Red]\-&quot;£&quot;#,##0.00"/>
    </dxf>
    <dxf>
      <numFmt numFmtId="12" formatCode="&quot;£&quot;#,##0.00;[Red]\-&quot;£&quot;#,##0.00"/>
    </dxf>
    <dxf>
      <numFmt numFmtId="12" formatCode="&quot;£&quot;#,##0.00;[Red]\-&quot;£&quot;#,##0.00"/>
    </dxf>
    <dxf>
      <numFmt numFmtId="12" formatCode="&quot;£&quot;#,##0.00;[Red]\-&quot;£&quot;#,##0.00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0E7CF21-84D9-48D3-B214-36E52F349635}" name="LoanCalculator" displayName="LoanCalculator" ref="B11:F198" totalsRowShown="0">
  <autoFilter ref="B11:F198" xr:uid="{00000000-0009-0000-0100-000001000000}"/>
  <tableColumns count="5">
    <tableColumn id="1" xr3:uid="{041F9FC8-3A28-4BA9-86D2-3C315DB65978}" name="Period" dataDxfId="11">
      <calculatedColumnFormula>ROW()-ROW(LoanCalculator[[#Headers],[Period]])</calculatedColumnFormula>
    </tableColumn>
    <tableColumn id="2" xr3:uid="{F81E081B-9163-4864-B794-54AD791FFCC1}" name="Opening balance" dataDxfId="10">
      <calculatedColumnFormula>F11</calculatedColumnFormula>
    </tableColumn>
    <tableColumn id="3" xr3:uid="{EE1BD9F2-8B43-4C9F-9052-EB72A10A1F61}" name="Interest" dataDxfId="9">
      <calculatedColumnFormula>ROUND(LoanCalculator[[#This Row],[Opening balance]]*$D$7/12,2)</calculatedColumnFormula>
    </tableColumn>
    <tableColumn id="4" xr3:uid="{07B5F313-5C04-4185-BF6C-A83CEBBD0595}" name="Repayment" dataDxfId="8">
      <calculatedColumnFormula>MAX(-$D$6,-LoanCalculator[[#This Row],[Opening balance]]-LoanCalculator[[#This Row],[Interest]])</calculatedColumnFormula>
    </tableColumn>
    <tableColumn id="5" xr3:uid="{3A3296DF-58F3-4571-A3E5-57B7560FBE9C}" name="Closing balance" dataDxfId="7">
      <calculatedColumnFormula>SUM(LoanCalculator[[#This Row],[Opening balance]:[Repayment]])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8241C-BE4C-4F33-8BAC-888762AB141D}">
  <dimension ref="A1:K28"/>
  <sheetViews>
    <sheetView tabSelected="1" zoomScale="150" zoomScaleNormal="150" workbookViewId="0">
      <selection activeCell="B5" sqref="B5"/>
    </sheetView>
  </sheetViews>
  <sheetFormatPr defaultRowHeight="15" x14ac:dyDescent="0.3"/>
  <cols>
    <col min="1" max="1" width="9" style="8"/>
    <col min="2" max="2" width="9.125" style="8" bestFit="1" customWidth="1"/>
    <col min="3" max="3" width="9" style="8"/>
    <col min="4" max="4" width="9.375" style="8" customWidth="1"/>
    <col min="5" max="5" width="9" style="8"/>
    <col min="6" max="6" width="11.5" style="8" customWidth="1"/>
    <col min="7" max="7" width="11.125" style="8" bestFit="1" customWidth="1"/>
    <col min="8" max="10" width="9" style="8"/>
    <col min="11" max="11" width="14.875" style="8" bestFit="1" customWidth="1"/>
    <col min="12" max="16384" width="9" style="8"/>
  </cols>
  <sheetData>
    <row r="1" spans="1:7" ht="15.75" x14ac:dyDescent="0.3">
      <c r="A1" s="1"/>
    </row>
    <row r="2" spans="1:7" x14ac:dyDescent="0.3">
      <c r="B2" s="8" t="s">
        <v>60</v>
      </c>
    </row>
    <row r="3" spans="1:7" x14ac:dyDescent="0.3">
      <c r="B3" s="8" t="s">
        <v>61</v>
      </c>
    </row>
    <row r="5" spans="1:7" x14ac:dyDescent="0.3">
      <c r="B5" s="9" t="s">
        <v>62</v>
      </c>
      <c r="C5" s="9" t="s">
        <v>63</v>
      </c>
      <c r="D5" s="9" t="s">
        <v>64</v>
      </c>
      <c r="E5" s="9" t="s">
        <v>65</v>
      </c>
      <c r="F5" s="9" t="s">
        <v>66</v>
      </c>
      <c r="G5" s="9" t="s">
        <v>67</v>
      </c>
    </row>
    <row r="6" spans="1:7" x14ac:dyDescent="0.3">
      <c r="B6" s="10" t="s">
        <v>68</v>
      </c>
      <c r="C6" s="11">
        <v>0.25</v>
      </c>
      <c r="D6" s="12">
        <v>10</v>
      </c>
      <c r="E6" s="11">
        <f>C6*D6</f>
        <v>2.5</v>
      </c>
      <c r="F6" s="13">
        <v>42064</v>
      </c>
      <c r="G6" s="13" t="s">
        <v>69</v>
      </c>
    </row>
    <row r="7" spans="1:7" ht="15" customHeight="1" x14ac:dyDescent="0.3">
      <c r="B7" s="10" t="s">
        <v>70</v>
      </c>
      <c r="C7" s="11">
        <v>0.22</v>
      </c>
      <c r="D7" s="12">
        <v>5</v>
      </c>
      <c r="E7" s="11">
        <f t="shared" ref="E7:E12" si="0">C7*D7</f>
        <v>1.1000000000000001</v>
      </c>
      <c r="F7" s="13">
        <v>42064</v>
      </c>
      <c r="G7" s="13" t="s">
        <v>69</v>
      </c>
    </row>
    <row r="8" spans="1:7" x14ac:dyDescent="0.3">
      <c r="B8" s="10" t="s">
        <v>71</v>
      </c>
      <c r="C8" s="11">
        <v>0.01</v>
      </c>
      <c r="D8" s="12">
        <v>100</v>
      </c>
      <c r="E8" s="11">
        <f t="shared" si="0"/>
        <v>1</v>
      </c>
      <c r="F8" s="13">
        <v>42095</v>
      </c>
      <c r="G8" s="13" t="s">
        <v>69</v>
      </c>
    </row>
    <row r="9" spans="1:7" ht="15" customHeight="1" x14ac:dyDescent="0.3">
      <c r="B9" s="10" t="s">
        <v>72</v>
      </c>
      <c r="C9" s="11">
        <v>1.01</v>
      </c>
      <c r="D9" s="12">
        <v>1</v>
      </c>
      <c r="E9" s="11">
        <f t="shared" si="0"/>
        <v>1.01</v>
      </c>
      <c r="F9" s="13">
        <v>42185</v>
      </c>
      <c r="G9" s="13" t="s">
        <v>73</v>
      </c>
    </row>
    <row r="10" spans="1:7" ht="15" customHeight="1" x14ac:dyDescent="0.3">
      <c r="B10" s="10" t="s">
        <v>74</v>
      </c>
      <c r="C10" s="11">
        <v>0.45</v>
      </c>
      <c r="D10" s="12">
        <v>20</v>
      </c>
      <c r="E10" s="11">
        <f t="shared" si="0"/>
        <v>9</v>
      </c>
      <c r="F10" s="13">
        <v>42095</v>
      </c>
      <c r="G10" s="13" t="s">
        <v>75</v>
      </c>
    </row>
    <row r="11" spans="1:7" ht="15" customHeight="1" x14ac:dyDescent="0.3">
      <c r="B11" s="10" t="s">
        <v>76</v>
      </c>
      <c r="C11" s="11">
        <v>0.11</v>
      </c>
      <c r="D11" s="12">
        <v>100</v>
      </c>
      <c r="E11" s="11">
        <f t="shared" si="0"/>
        <v>11</v>
      </c>
      <c r="F11" s="13">
        <v>42185</v>
      </c>
      <c r="G11" s="13" t="s">
        <v>73</v>
      </c>
    </row>
    <row r="12" spans="1:7" x14ac:dyDescent="0.3">
      <c r="B12" s="10" t="s">
        <v>77</v>
      </c>
      <c r="C12" s="11">
        <v>0.01</v>
      </c>
      <c r="D12" s="12">
        <v>500</v>
      </c>
      <c r="E12" s="11">
        <f t="shared" si="0"/>
        <v>5</v>
      </c>
      <c r="F12" s="13">
        <v>42064</v>
      </c>
      <c r="G12" s="13" t="s">
        <v>78</v>
      </c>
    </row>
    <row r="16" spans="1:7" x14ac:dyDescent="0.3">
      <c r="B16" s="8" t="s">
        <v>79</v>
      </c>
    </row>
    <row r="17" spans="2:11" x14ac:dyDescent="0.3">
      <c r="B17" s="8" t="s">
        <v>80</v>
      </c>
    </row>
    <row r="19" spans="2:11" x14ac:dyDescent="0.3">
      <c r="B19" s="8" t="s">
        <v>81</v>
      </c>
    </row>
    <row r="20" spans="2:11" x14ac:dyDescent="0.3">
      <c r="B20" s="8" t="s">
        <v>82</v>
      </c>
    </row>
    <row r="21" spans="2:11" x14ac:dyDescent="0.3">
      <c r="B21" s="8" t="s">
        <v>83</v>
      </c>
    </row>
    <row r="22" spans="2:11" x14ac:dyDescent="0.3">
      <c r="B22" s="8" t="s">
        <v>84</v>
      </c>
    </row>
    <row r="24" spans="2:11" x14ac:dyDescent="0.3">
      <c r="B24" s="8" t="s">
        <v>85</v>
      </c>
      <c r="K24" s="14" t="s">
        <v>86</v>
      </c>
    </row>
    <row r="25" spans="2:11" x14ac:dyDescent="0.3">
      <c r="B25" s="8" t="s">
        <v>87</v>
      </c>
      <c r="K25" s="14" t="s">
        <v>88</v>
      </c>
    </row>
    <row r="26" spans="2:11" x14ac:dyDescent="0.3">
      <c r="B26" s="8" t="s">
        <v>89</v>
      </c>
      <c r="K26" s="14" t="s">
        <v>90</v>
      </c>
    </row>
    <row r="27" spans="2:11" x14ac:dyDescent="0.3">
      <c r="B27" s="8" t="s">
        <v>91</v>
      </c>
      <c r="K27" s="14"/>
    </row>
    <row r="28" spans="2:11" x14ac:dyDescent="0.3">
      <c r="B28" s="8" t="s">
        <v>92</v>
      </c>
    </row>
  </sheetData>
  <pageMargins left="0.7" right="0.7" top="0.75" bottom="0.75" header="0.3" footer="0.3"/>
  <pageSetup paperSize="9" orientation="portrait" r:id="rId1"/>
  <headerFooter>
    <oddFooter>&amp;L&amp;"Times New Roman"&amp;07C:\Documents and Settings\LYFORD\Desktop\Excel knowledge sharing v2.xlsx[&amp;A]&amp;R&amp;"Times New Roman"&amp;07&amp;T 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A48A3-7258-4C87-9D8A-68C46E3BFEAA}">
  <dimension ref="A1:D16"/>
  <sheetViews>
    <sheetView zoomScale="120" zoomScaleNormal="120" workbookViewId="0">
      <selection activeCell="B2" sqref="B2"/>
    </sheetView>
  </sheetViews>
  <sheetFormatPr defaultRowHeight="14.25" x14ac:dyDescent="0.2"/>
  <cols>
    <col min="2" max="2" width="25.25" customWidth="1"/>
  </cols>
  <sheetData>
    <row r="1" spans="1:4" x14ac:dyDescent="0.2">
      <c r="A1" s="1"/>
    </row>
    <row r="2" spans="1:4" x14ac:dyDescent="0.2">
      <c r="B2" t="s">
        <v>107</v>
      </c>
    </row>
    <row r="3" spans="1:4" x14ac:dyDescent="0.2">
      <c r="B3" t="s">
        <v>108</v>
      </c>
    </row>
    <row r="4" spans="1:4" x14ac:dyDescent="0.2">
      <c r="C4" t="s">
        <v>109</v>
      </c>
    </row>
    <row r="5" spans="1:4" x14ac:dyDescent="0.2">
      <c r="C5" t="s">
        <v>110</v>
      </c>
    </row>
    <row r="6" spans="1:4" x14ac:dyDescent="0.2">
      <c r="B6" t="s">
        <v>111</v>
      </c>
    </row>
    <row r="8" spans="1:4" x14ac:dyDescent="0.2">
      <c r="C8" s="16">
        <v>1234</v>
      </c>
      <c r="D8" t="s">
        <v>112</v>
      </c>
    </row>
    <row r="9" spans="1:4" ht="15" x14ac:dyDescent="0.25">
      <c r="C9" s="17">
        <v>1234</v>
      </c>
      <c r="D9" t="s">
        <v>113</v>
      </c>
    </row>
    <row r="10" spans="1:4" ht="15" x14ac:dyDescent="0.25">
      <c r="C10" s="18">
        <v>1234</v>
      </c>
      <c r="D10" t="s">
        <v>114</v>
      </c>
    </row>
    <row r="12" spans="1:4" x14ac:dyDescent="0.2">
      <c r="B12" t="s">
        <v>115</v>
      </c>
      <c r="C12" s="19">
        <v>132000</v>
      </c>
    </row>
    <row r="13" spans="1:4" x14ac:dyDescent="0.2">
      <c r="B13" t="s">
        <v>116</v>
      </c>
      <c r="C13" s="20">
        <v>2000</v>
      </c>
    </row>
    <row r="14" spans="1:4" x14ac:dyDescent="0.2">
      <c r="B14" t="s">
        <v>117</v>
      </c>
      <c r="C14" s="21">
        <v>2.1899999999999999E-2</v>
      </c>
    </row>
    <row r="15" spans="1:4" x14ac:dyDescent="0.2">
      <c r="B15" t="s">
        <v>118</v>
      </c>
      <c r="C15" s="22">
        <f>NPER(C14/12,-C13,C12)</f>
        <v>70.390106869849674</v>
      </c>
    </row>
    <row r="16" spans="1:4" x14ac:dyDescent="0.2">
      <c r="B16" t="s">
        <v>119</v>
      </c>
      <c r="C16" s="19">
        <f>C13*C15-C12</f>
        <v>8780.2137396993348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DABE5-F525-494D-8E92-547B98D37060}">
  <dimension ref="A1:I50"/>
  <sheetViews>
    <sheetView zoomScale="150" zoomScaleNormal="150" workbookViewId="0">
      <selection activeCell="B2" sqref="B2"/>
    </sheetView>
  </sheetViews>
  <sheetFormatPr defaultRowHeight="14.25" x14ac:dyDescent="0.2"/>
  <cols>
    <col min="3" max="3" width="13.5" bestFit="1" customWidth="1"/>
    <col min="4" max="4" width="11.75" bestFit="1" customWidth="1"/>
    <col min="5" max="5" width="36.5" bestFit="1" customWidth="1"/>
    <col min="6" max="6" width="11.5" bestFit="1" customWidth="1"/>
    <col min="7" max="7" width="12.625" bestFit="1" customWidth="1"/>
    <col min="8" max="8" width="15.625" bestFit="1" customWidth="1"/>
  </cols>
  <sheetData>
    <row r="1" spans="1:8" x14ac:dyDescent="0.2">
      <c r="A1" s="1"/>
    </row>
    <row r="2" spans="1:8" x14ac:dyDescent="0.2">
      <c r="B2" t="s">
        <v>0</v>
      </c>
    </row>
    <row r="3" spans="1:8" x14ac:dyDescent="0.2">
      <c r="B3" t="s">
        <v>1</v>
      </c>
    </row>
    <row r="4" spans="1:8" x14ac:dyDescent="0.2">
      <c r="B4" t="s">
        <v>2</v>
      </c>
    </row>
    <row r="5" spans="1:8" x14ac:dyDescent="0.2">
      <c r="B5" t="s">
        <v>3</v>
      </c>
    </row>
    <row r="6" spans="1:8" x14ac:dyDescent="0.2">
      <c r="B6" t="s">
        <v>4</v>
      </c>
    </row>
    <row r="7" spans="1:8" ht="15" x14ac:dyDescent="0.25">
      <c r="B7" t="s">
        <v>5</v>
      </c>
    </row>
    <row r="9" spans="1:8" x14ac:dyDescent="0.2">
      <c r="B9" t="s">
        <v>6</v>
      </c>
    </row>
    <row r="11" spans="1:8" ht="15" x14ac:dyDescent="0.25">
      <c r="C11" s="2" t="s">
        <v>7</v>
      </c>
      <c r="D11" s="2" t="s">
        <v>8</v>
      </c>
      <c r="E11" s="2" t="s">
        <v>9</v>
      </c>
      <c r="F11" s="2" t="s">
        <v>10</v>
      </c>
      <c r="G11" s="2" t="s">
        <v>11</v>
      </c>
      <c r="H11" s="2" t="s">
        <v>12</v>
      </c>
    </row>
    <row r="12" spans="1:8" x14ac:dyDescent="0.2">
      <c r="C12" t="s">
        <v>13</v>
      </c>
      <c r="D12" t="s">
        <v>14</v>
      </c>
      <c r="E12">
        <v>100639</v>
      </c>
      <c r="F12" s="3">
        <v>4785.87</v>
      </c>
      <c r="G12" s="4">
        <v>43560</v>
      </c>
      <c r="H12" t="str">
        <f t="shared" ref="H12:H22" si="0">C12&amp;D12</f>
        <v>JackieLee</v>
      </c>
    </row>
    <row r="13" spans="1:8" x14ac:dyDescent="0.2">
      <c r="C13" t="s">
        <v>15</v>
      </c>
      <c r="D13" t="s">
        <v>16</v>
      </c>
      <c r="E13">
        <v>100507</v>
      </c>
      <c r="F13" s="3">
        <v>1982.15</v>
      </c>
      <c r="G13" s="4">
        <v>43574</v>
      </c>
      <c r="H13" t="str">
        <f t="shared" si="0"/>
        <v>MelissaDe Tora</v>
      </c>
    </row>
    <row r="14" spans="1:8" x14ac:dyDescent="0.2">
      <c r="C14" t="s">
        <v>17</v>
      </c>
      <c r="D14" t="s">
        <v>18</v>
      </c>
      <c r="E14">
        <v>100442</v>
      </c>
      <c r="F14" s="3">
        <v>2206.15</v>
      </c>
      <c r="G14" s="4">
        <v>43574</v>
      </c>
      <c r="H14" t="str">
        <f t="shared" si="0"/>
        <v>MikeSigrist</v>
      </c>
    </row>
    <row r="15" spans="1:8" x14ac:dyDescent="0.2">
      <c r="C15" t="s">
        <v>17</v>
      </c>
      <c r="D15" t="s">
        <v>19</v>
      </c>
      <c r="E15">
        <v>100331</v>
      </c>
      <c r="F15" s="3">
        <v>985.16</v>
      </c>
      <c r="G15" s="4">
        <v>43634</v>
      </c>
      <c r="H15" t="str">
        <f t="shared" si="0"/>
        <v>MikeFlores</v>
      </c>
    </row>
    <row r="16" spans="1:8" x14ac:dyDescent="0.2">
      <c r="C16" t="s">
        <v>20</v>
      </c>
      <c r="D16" t="s">
        <v>21</v>
      </c>
      <c r="E16">
        <v>100875</v>
      </c>
      <c r="F16" s="3">
        <v>4878.13</v>
      </c>
      <c r="G16" s="4">
        <v>43624</v>
      </c>
      <c r="H16" t="str">
        <f t="shared" si="0"/>
        <v>OwenTurtenwald</v>
      </c>
    </row>
    <row r="17" spans="2:8" x14ac:dyDescent="0.2">
      <c r="C17" t="s">
        <v>22</v>
      </c>
      <c r="D17" t="s">
        <v>23</v>
      </c>
      <c r="E17">
        <v>100373</v>
      </c>
      <c r="F17" s="3">
        <v>3312.25</v>
      </c>
      <c r="G17" s="4">
        <v>43589</v>
      </c>
      <c r="H17" t="str">
        <f t="shared" si="0"/>
        <v>LuisScott-Vargas</v>
      </c>
    </row>
    <row r="18" spans="2:8" x14ac:dyDescent="0.2">
      <c r="C18" t="s">
        <v>24</v>
      </c>
      <c r="D18" t="s">
        <v>25</v>
      </c>
      <c r="E18">
        <v>100942</v>
      </c>
      <c r="F18" s="3">
        <v>4830.8900000000003</v>
      </c>
      <c r="G18" s="4">
        <v>43607</v>
      </c>
      <c r="H18" t="str">
        <f t="shared" si="0"/>
        <v>ChristineSprankle</v>
      </c>
    </row>
    <row r="19" spans="2:8" x14ac:dyDescent="0.2">
      <c r="C19" t="s">
        <v>26</v>
      </c>
      <c r="D19" t="s">
        <v>27</v>
      </c>
      <c r="E19">
        <v>100916</v>
      </c>
      <c r="F19" s="3">
        <v>1494.23</v>
      </c>
      <c r="G19" s="4">
        <v>43597</v>
      </c>
      <c r="H19" t="str">
        <f t="shared" si="0"/>
        <v>OlivierRuel</v>
      </c>
    </row>
    <row r="20" spans="2:8" x14ac:dyDescent="0.2">
      <c r="C20" t="s">
        <v>28</v>
      </c>
      <c r="D20" t="s">
        <v>29</v>
      </c>
      <c r="E20">
        <v>100981</v>
      </c>
      <c r="F20" s="3">
        <v>4455.8</v>
      </c>
      <c r="G20" s="4">
        <v>43608</v>
      </c>
      <c r="H20" t="str">
        <f t="shared" si="0"/>
        <v>BrianKibler</v>
      </c>
    </row>
    <row r="21" spans="2:8" x14ac:dyDescent="0.2">
      <c r="C21" t="s">
        <v>30</v>
      </c>
      <c r="D21" t="s">
        <v>27</v>
      </c>
      <c r="E21">
        <v>100361</v>
      </c>
      <c r="F21" s="3">
        <v>1054.76</v>
      </c>
      <c r="G21" s="4">
        <v>43626</v>
      </c>
      <c r="H21" t="str">
        <f t="shared" si="0"/>
        <v>AntoineRuel</v>
      </c>
    </row>
    <row r="22" spans="2:8" x14ac:dyDescent="0.2">
      <c r="C22" t="s">
        <v>31</v>
      </c>
      <c r="D22" t="s">
        <v>32</v>
      </c>
      <c r="E22">
        <v>100332</v>
      </c>
      <c r="F22" s="3">
        <v>3434.75</v>
      </c>
      <c r="G22" s="4">
        <v>43574</v>
      </c>
      <c r="H22" t="str">
        <f t="shared" si="0"/>
        <v>BradNelson</v>
      </c>
    </row>
    <row r="24" spans="2:8" ht="15" x14ac:dyDescent="0.25">
      <c r="C24" s="2" t="s">
        <v>9</v>
      </c>
      <c r="D24" s="2" t="s">
        <v>10</v>
      </c>
    </row>
    <row r="25" spans="2:8" x14ac:dyDescent="0.2">
      <c r="C25" s="5">
        <v>100981</v>
      </c>
      <c r="D25" s="3">
        <f>VLOOKUP(C25,E12:H22,2,FALSE)</f>
        <v>4455.8</v>
      </c>
      <c r="E25" s="7" t="s">
        <v>54</v>
      </c>
    </row>
    <row r="26" spans="2:8" x14ac:dyDescent="0.2">
      <c r="D26" s="3">
        <f>INDEX(F12:F22,MATCH(C25,E12:E22,0))</f>
        <v>4455.8</v>
      </c>
      <c r="E26" s="7" t="s">
        <v>55</v>
      </c>
    </row>
    <row r="27" spans="2:8" x14ac:dyDescent="0.2">
      <c r="D27" s="3">
        <f>_xlfn.XLOOKUP(C25,E12:E22,F12:F22)</f>
        <v>4455.8</v>
      </c>
      <c r="E27" s="7" t="s">
        <v>56</v>
      </c>
      <c r="F27" t="s">
        <v>57</v>
      </c>
    </row>
    <row r="28" spans="2:8" x14ac:dyDescent="0.2">
      <c r="B28" t="s">
        <v>33</v>
      </c>
    </row>
    <row r="30" spans="2:8" x14ac:dyDescent="0.2">
      <c r="B30" t="s">
        <v>58</v>
      </c>
    </row>
    <row r="31" spans="2:8" x14ac:dyDescent="0.2">
      <c r="D31">
        <f>MATCH(C25,E12:E22,0)</f>
        <v>9</v>
      </c>
    </row>
    <row r="32" spans="2:8" x14ac:dyDescent="0.2">
      <c r="B32" t="s">
        <v>59</v>
      </c>
    </row>
    <row r="33" spans="2:9" x14ac:dyDescent="0.2">
      <c r="D33" s="3" cm="1">
        <f t="array" ref="D33">INDEX(F12:F22,D31)</f>
        <v>4455.8</v>
      </c>
    </row>
    <row r="35" spans="2:9" x14ac:dyDescent="0.2">
      <c r="B35" t="s">
        <v>34</v>
      </c>
    </row>
    <row r="36" spans="2:9" ht="15" x14ac:dyDescent="0.25">
      <c r="C36" s="2" t="s">
        <v>7</v>
      </c>
      <c r="D36" s="2" t="s">
        <v>8</v>
      </c>
      <c r="E36" s="2" t="s">
        <v>11</v>
      </c>
    </row>
    <row r="37" spans="2:9" x14ac:dyDescent="0.2">
      <c r="C37" t="s">
        <v>17</v>
      </c>
      <c r="D37" t="s">
        <v>19</v>
      </c>
      <c r="E37" s="4">
        <f>INDEX(G12:G22,MATCH(C37&amp;D37,H12:H22,0))</f>
        <v>43634</v>
      </c>
    </row>
    <row r="39" spans="2:9" x14ac:dyDescent="0.2">
      <c r="B39" t="s">
        <v>35</v>
      </c>
    </row>
    <row r="40" spans="2:9" x14ac:dyDescent="0.2">
      <c r="C40" t="s">
        <v>36</v>
      </c>
    </row>
    <row r="41" spans="2:9" x14ac:dyDescent="0.2">
      <c r="C41" t="s">
        <v>37</v>
      </c>
    </row>
    <row r="42" spans="2:9" x14ac:dyDescent="0.2">
      <c r="C42" s="6" t="s">
        <v>38</v>
      </c>
    </row>
    <row r="44" spans="2:9" ht="15" x14ac:dyDescent="0.25">
      <c r="C44" s="2" t="s">
        <v>39</v>
      </c>
      <c r="D44" s="2" t="s">
        <v>40</v>
      </c>
      <c r="E44" s="2" t="s">
        <v>41</v>
      </c>
      <c r="G44" s="2" t="s">
        <v>42</v>
      </c>
      <c r="H44" s="2" t="s">
        <v>43</v>
      </c>
      <c r="I44" s="2" t="s">
        <v>39</v>
      </c>
    </row>
    <row r="45" spans="2:9" x14ac:dyDescent="0.2">
      <c r="C45" t="s">
        <v>44</v>
      </c>
      <c r="D45">
        <v>0</v>
      </c>
      <c r="E45">
        <f>D46-1</f>
        <v>39</v>
      </c>
      <c r="G45" t="s">
        <v>45</v>
      </c>
      <c r="H45">
        <v>67</v>
      </c>
      <c r="I45" t="str">
        <f>INDEX($C$45:$C$50,MATCH(H45,$D$45:$D$50,1))</f>
        <v>B</v>
      </c>
    </row>
    <row r="46" spans="2:9" x14ac:dyDescent="0.2">
      <c r="C46" t="s">
        <v>46</v>
      </c>
      <c r="D46">
        <v>40</v>
      </c>
      <c r="E46">
        <f t="shared" ref="E46:E49" si="1">D47-1</f>
        <v>54</v>
      </c>
      <c r="G46" t="s">
        <v>47</v>
      </c>
      <c r="H46">
        <v>81</v>
      </c>
      <c r="I46" t="str">
        <f t="shared" ref="I46:I48" si="2">INDEX($C$45:$C$50,MATCH(H46,$D$45:$D$50,1))</f>
        <v>A*</v>
      </c>
    </row>
    <row r="47" spans="2:9" x14ac:dyDescent="0.2">
      <c r="C47" t="s">
        <v>48</v>
      </c>
      <c r="D47">
        <v>55</v>
      </c>
      <c r="E47">
        <f t="shared" si="1"/>
        <v>64</v>
      </c>
      <c r="G47" t="s">
        <v>49</v>
      </c>
      <c r="H47">
        <v>25</v>
      </c>
      <c r="I47" t="str">
        <f t="shared" si="2"/>
        <v>U</v>
      </c>
    </row>
    <row r="48" spans="2:9" x14ac:dyDescent="0.2">
      <c r="C48" t="s">
        <v>50</v>
      </c>
      <c r="D48">
        <v>65</v>
      </c>
      <c r="E48">
        <f t="shared" si="1"/>
        <v>69</v>
      </c>
      <c r="G48" t="s">
        <v>51</v>
      </c>
      <c r="H48">
        <v>60</v>
      </c>
      <c r="I48" t="str">
        <f t="shared" si="2"/>
        <v>C</v>
      </c>
    </row>
    <row r="49" spans="3:5" x14ac:dyDescent="0.2">
      <c r="C49" t="s">
        <v>52</v>
      </c>
      <c r="D49">
        <v>70</v>
      </c>
      <c r="E49">
        <f t="shared" si="1"/>
        <v>79</v>
      </c>
    </row>
    <row r="50" spans="3:5" x14ac:dyDescent="0.2">
      <c r="C50" t="s">
        <v>53</v>
      </c>
      <c r="D50">
        <v>80</v>
      </c>
      <c r="E50">
        <v>100</v>
      </c>
    </row>
  </sheetData>
  <conditionalFormatting sqref="C12:C22">
    <cfRule type="expression" dxfId="6" priority="3">
      <formula>E12=$B$17</formula>
    </cfRule>
  </conditionalFormatting>
  <conditionalFormatting sqref="G12:G22">
    <cfRule type="expression" dxfId="5" priority="2">
      <formula>H12=$B$21&amp;$C$21</formula>
    </cfRule>
  </conditionalFormatting>
  <conditionalFormatting sqref="E37">
    <cfRule type="expression" dxfId="4" priority="1">
      <formula>F37=$B$21&amp;$C$21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E893F-40B4-488E-90E1-4EAEE70CBDC7}">
  <dimension ref="A1:N27"/>
  <sheetViews>
    <sheetView zoomScale="150" zoomScaleNormal="150" workbookViewId="0">
      <selection activeCell="B2" sqref="B2"/>
    </sheetView>
  </sheetViews>
  <sheetFormatPr defaultRowHeight="14.25" x14ac:dyDescent="0.2"/>
  <cols>
    <col min="1" max="1" width="3.375" customWidth="1"/>
    <col min="2" max="2" width="10.125" bestFit="1" customWidth="1"/>
    <col min="5" max="5" width="2.875" customWidth="1"/>
    <col min="6" max="6" width="15.5" bestFit="1" customWidth="1"/>
  </cols>
  <sheetData>
    <row r="1" spans="1:14" x14ac:dyDescent="0.2">
      <c r="A1" s="1"/>
    </row>
    <row r="2" spans="1:14" x14ac:dyDescent="0.2">
      <c r="B2">
        <v>1</v>
      </c>
      <c r="C2" s="60" t="s">
        <v>93</v>
      </c>
      <c r="D2" s="60"/>
      <c r="E2" s="15"/>
      <c r="F2">
        <v>1</v>
      </c>
      <c r="G2" s="60" t="s">
        <v>94</v>
      </c>
      <c r="H2" s="60"/>
      <c r="I2">
        <v>1</v>
      </c>
      <c r="J2" s="60" t="s">
        <v>95</v>
      </c>
      <c r="K2" s="60"/>
      <c r="L2">
        <v>12</v>
      </c>
      <c r="M2" s="60" t="s">
        <v>96</v>
      </c>
      <c r="N2" s="60"/>
    </row>
    <row r="3" spans="1:14" x14ac:dyDescent="0.2">
      <c r="B3">
        <v>3</v>
      </c>
      <c r="C3" s="60"/>
      <c r="D3" s="60"/>
      <c r="E3" s="15"/>
      <c r="F3">
        <v>20</v>
      </c>
      <c r="G3" s="60"/>
      <c r="H3" s="60"/>
      <c r="I3">
        <v>2</v>
      </c>
      <c r="J3" s="60"/>
      <c r="K3" s="60"/>
      <c r="L3">
        <v>6</v>
      </c>
      <c r="M3" s="60"/>
      <c r="N3" s="60"/>
    </row>
    <row r="4" spans="1:14" x14ac:dyDescent="0.2">
      <c r="B4">
        <v>4</v>
      </c>
      <c r="C4" s="60"/>
      <c r="D4" s="60"/>
      <c r="F4">
        <v>3</v>
      </c>
      <c r="G4" s="60"/>
      <c r="H4" s="60"/>
      <c r="I4">
        <v>3</v>
      </c>
      <c r="J4" s="15"/>
      <c r="K4" s="15"/>
      <c r="L4">
        <v>21</v>
      </c>
    </row>
    <row r="5" spans="1:14" x14ac:dyDescent="0.2">
      <c r="B5">
        <v>5</v>
      </c>
      <c r="F5">
        <v>4</v>
      </c>
      <c r="I5">
        <v>4</v>
      </c>
      <c r="L5">
        <v>2</v>
      </c>
    </row>
    <row r="6" spans="1:14" x14ac:dyDescent="0.2">
      <c r="B6">
        <v>6</v>
      </c>
      <c r="F6">
        <v>5</v>
      </c>
      <c r="I6">
        <v>10</v>
      </c>
      <c r="L6">
        <v>10</v>
      </c>
    </row>
    <row r="7" spans="1:14" x14ac:dyDescent="0.2">
      <c r="B7">
        <v>100</v>
      </c>
      <c r="F7">
        <v>6</v>
      </c>
      <c r="I7">
        <v>6</v>
      </c>
      <c r="L7">
        <v>28</v>
      </c>
    </row>
    <row r="8" spans="1:14" x14ac:dyDescent="0.2">
      <c r="L8">
        <v>17</v>
      </c>
    </row>
    <row r="9" spans="1:14" x14ac:dyDescent="0.2">
      <c r="B9">
        <v>1</v>
      </c>
      <c r="C9" s="60" t="s">
        <v>97</v>
      </c>
      <c r="D9" s="60"/>
      <c r="F9" t="s">
        <v>98</v>
      </c>
      <c r="G9" s="60" t="s">
        <v>99</v>
      </c>
      <c r="H9" s="60"/>
      <c r="I9" s="60"/>
      <c r="L9">
        <v>23</v>
      </c>
    </row>
    <row r="10" spans="1:14" x14ac:dyDescent="0.2">
      <c r="B10">
        <v>20</v>
      </c>
      <c r="C10" s="60"/>
      <c r="D10" s="60"/>
      <c r="F10" t="s">
        <v>100</v>
      </c>
      <c r="G10" s="60"/>
      <c r="H10" s="60"/>
      <c r="I10" s="60"/>
      <c r="L10">
        <v>30</v>
      </c>
    </row>
    <row r="11" spans="1:14" x14ac:dyDescent="0.2">
      <c r="B11">
        <v>3</v>
      </c>
      <c r="C11" s="60"/>
      <c r="D11" s="60"/>
      <c r="F11" t="s">
        <v>101</v>
      </c>
      <c r="G11" s="60"/>
      <c r="H11" s="60"/>
      <c r="I11" s="60"/>
      <c r="L11">
        <v>1</v>
      </c>
    </row>
    <row r="12" spans="1:14" x14ac:dyDescent="0.2">
      <c r="B12">
        <v>14</v>
      </c>
      <c r="C12" s="60"/>
      <c r="D12" s="60"/>
      <c r="F12" t="s">
        <v>102</v>
      </c>
      <c r="L12">
        <v>1</v>
      </c>
    </row>
    <row r="13" spans="1:14" x14ac:dyDescent="0.2">
      <c r="B13">
        <v>5</v>
      </c>
      <c r="F13" t="s">
        <v>103</v>
      </c>
      <c r="H13">
        <v>1</v>
      </c>
      <c r="L13">
        <v>26</v>
      </c>
    </row>
    <row r="14" spans="1:14" x14ac:dyDescent="0.2">
      <c r="B14">
        <v>6</v>
      </c>
      <c r="F14" t="s">
        <v>103</v>
      </c>
      <c r="H14">
        <v>-18</v>
      </c>
      <c r="L14">
        <v>5</v>
      </c>
    </row>
    <row r="15" spans="1:14" x14ac:dyDescent="0.2">
      <c r="F15" t="s">
        <v>104</v>
      </c>
      <c r="H15">
        <v>1</v>
      </c>
      <c r="L15">
        <v>8</v>
      </c>
    </row>
    <row r="16" spans="1:14" x14ac:dyDescent="0.2">
      <c r="F16" t="s">
        <v>101</v>
      </c>
      <c r="H16">
        <v>-18</v>
      </c>
      <c r="L16">
        <v>19</v>
      </c>
    </row>
    <row r="17" spans="2:12" x14ac:dyDescent="0.2">
      <c r="H17">
        <v>4</v>
      </c>
      <c r="L17">
        <v>23</v>
      </c>
    </row>
    <row r="18" spans="2:12" x14ac:dyDescent="0.2">
      <c r="B18" s="4">
        <v>44073</v>
      </c>
      <c r="C18" s="60" t="s">
        <v>105</v>
      </c>
      <c r="D18" s="60"/>
      <c r="E18" s="60"/>
      <c r="F18" s="60"/>
      <c r="H18">
        <v>4</v>
      </c>
      <c r="L18">
        <v>8</v>
      </c>
    </row>
    <row r="19" spans="2:12" x14ac:dyDescent="0.2">
      <c r="B19" s="4">
        <v>43573</v>
      </c>
      <c r="C19" s="60"/>
      <c r="D19" s="60"/>
      <c r="E19" s="60"/>
      <c r="F19" s="60"/>
      <c r="H19">
        <v>-7</v>
      </c>
      <c r="L19">
        <v>27</v>
      </c>
    </row>
    <row r="20" spans="2:12" x14ac:dyDescent="0.2">
      <c r="B20" s="4">
        <v>44032</v>
      </c>
      <c r="C20" s="60"/>
      <c r="D20" s="60"/>
      <c r="E20" s="60"/>
      <c r="F20" s="60"/>
      <c r="H20">
        <v>14</v>
      </c>
      <c r="L20">
        <v>31</v>
      </c>
    </row>
    <row r="21" spans="2:12" x14ac:dyDescent="0.2">
      <c r="B21" s="4">
        <v>43546</v>
      </c>
      <c r="C21" s="60"/>
      <c r="D21" s="60"/>
      <c r="E21" s="60"/>
      <c r="F21" s="60"/>
      <c r="H21">
        <v>-8</v>
      </c>
      <c r="L21">
        <v>24</v>
      </c>
    </row>
    <row r="22" spans="2:12" x14ac:dyDescent="0.2">
      <c r="B22" s="4">
        <v>43989</v>
      </c>
      <c r="C22" s="60"/>
      <c r="D22" s="60"/>
      <c r="E22" s="60"/>
      <c r="F22" s="60"/>
      <c r="H22">
        <v>0</v>
      </c>
      <c r="L22">
        <v>50</v>
      </c>
    </row>
    <row r="23" spans="2:12" x14ac:dyDescent="0.2">
      <c r="B23" s="4">
        <v>43636</v>
      </c>
      <c r="C23" s="60"/>
      <c r="D23" s="60"/>
      <c r="E23" s="60"/>
      <c r="F23" s="60"/>
      <c r="H23">
        <v>12</v>
      </c>
    </row>
    <row r="24" spans="2:12" x14ac:dyDescent="0.2">
      <c r="B24" s="4">
        <v>43787</v>
      </c>
      <c r="C24" s="60"/>
      <c r="D24" s="60"/>
      <c r="E24" s="60"/>
      <c r="F24" s="60"/>
      <c r="H24">
        <v>4</v>
      </c>
    </row>
    <row r="25" spans="2:12" x14ac:dyDescent="0.2">
      <c r="B25" s="4">
        <f ca="1">TODAY()+1</f>
        <v>43972</v>
      </c>
      <c r="H25">
        <v>12</v>
      </c>
    </row>
    <row r="27" spans="2:12" x14ac:dyDescent="0.2">
      <c r="B27" t="s">
        <v>106</v>
      </c>
    </row>
  </sheetData>
  <mergeCells count="7">
    <mergeCell ref="C18:F24"/>
    <mergeCell ref="C2:D4"/>
    <mergeCell ref="G2:H4"/>
    <mergeCell ref="J2:K3"/>
    <mergeCell ref="M2:N3"/>
    <mergeCell ref="C9:D12"/>
    <mergeCell ref="G9:I11"/>
  </mergeCells>
  <conditionalFormatting sqref="B2:B7">
    <cfRule type="aboveAverage" dxfId="3" priority="7"/>
  </conditionalFormatting>
  <conditionalFormatting sqref="F2:F7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2:I7">
    <cfRule type="iconSet" priority="5">
      <iconSet iconSet="3Flags">
        <cfvo type="percent" val="0"/>
        <cfvo type="percent" val="33"/>
        <cfvo type="percent" val="67"/>
      </iconSet>
    </cfRule>
  </conditionalFormatting>
  <conditionalFormatting sqref="B9:B14">
    <cfRule type="dataBar" priority="4">
      <dataBar>
        <cfvo type="min"/>
        <cfvo type="max"/>
        <color rgb="FF638EC6"/>
      </dataBar>
    </cfRule>
  </conditionalFormatting>
  <conditionalFormatting sqref="L2:L22">
    <cfRule type="top10" dxfId="2" priority="3" rank="5"/>
  </conditionalFormatting>
  <conditionalFormatting sqref="F9:F16">
    <cfRule type="duplicateValues" dxfId="1" priority="2"/>
  </conditionalFormatting>
  <conditionalFormatting sqref="B18:B25">
    <cfRule type="expression" dxfId="0" priority="1">
      <formula>B18&lt;TODAY()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E2D56-2C1E-47F0-8598-146BA2B12917}">
  <dimension ref="B2:F198"/>
  <sheetViews>
    <sheetView workbookViewId="0">
      <selection activeCell="F12" sqref="F12"/>
    </sheetView>
  </sheetViews>
  <sheetFormatPr defaultColWidth="7.75" defaultRowHeight="14.25" x14ac:dyDescent="0.2"/>
  <cols>
    <col min="1" max="1" width="7.75" style="53"/>
    <col min="2" max="2" width="8.375" style="53" bestFit="1" customWidth="1"/>
    <col min="3" max="3" width="26.625" style="53" bestFit="1" customWidth="1"/>
    <col min="4" max="4" width="16" style="53" bestFit="1" customWidth="1"/>
    <col min="5" max="5" width="16.375" style="53" bestFit="1" customWidth="1"/>
    <col min="6" max="6" width="16.375" style="53" customWidth="1"/>
    <col min="7" max="16384" width="7.75" style="53"/>
  </cols>
  <sheetData>
    <row r="2" spans="2:6" x14ac:dyDescent="0.2">
      <c r="B2" s="53" t="s">
        <v>276</v>
      </c>
    </row>
    <row r="3" spans="2:6" x14ac:dyDescent="0.2">
      <c r="B3" s="53" t="s">
        <v>277</v>
      </c>
    </row>
    <row r="4" spans="2:6" ht="15" x14ac:dyDescent="0.25">
      <c r="D4" s="54" t="s">
        <v>278</v>
      </c>
      <c r="E4" s="54" t="s">
        <v>279</v>
      </c>
    </row>
    <row r="5" spans="2:6" x14ac:dyDescent="0.2">
      <c r="C5" s="53" t="s">
        <v>280</v>
      </c>
      <c r="D5" s="55">
        <v>200000</v>
      </c>
      <c r="E5" s="55">
        <f>PV(D7/12,D8,-D6)</f>
        <v>200000.31388046226</v>
      </c>
    </row>
    <row r="6" spans="2:6" ht="15" x14ac:dyDescent="0.25">
      <c r="C6" s="56" t="s">
        <v>281</v>
      </c>
      <c r="D6" s="55">
        <v>1600</v>
      </c>
      <c r="E6" s="55">
        <f>-PMT(D7/12,D8,D5)</f>
        <v>1599.9974889602656</v>
      </c>
    </row>
    <row r="7" spans="2:6" ht="15" x14ac:dyDescent="0.25">
      <c r="C7" s="56" t="s">
        <v>282</v>
      </c>
      <c r="D7" s="57">
        <v>5.5100000000000003E-2</v>
      </c>
      <c r="E7" s="57">
        <f>RATE(D8,-D6,D5)*12</f>
        <v>5.510023490925714E-2</v>
      </c>
    </row>
    <row r="8" spans="2:6" x14ac:dyDescent="0.2">
      <c r="C8" s="53" t="s">
        <v>283</v>
      </c>
      <c r="D8" s="58">
        <f>-SUM(LoanCalculator[Repayment])/D6</f>
        <v>186.24557499999992</v>
      </c>
      <c r="E8" s="58">
        <f>NPER(D7/12,-D6,D5)</f>
        <v>186.24511348284318</v>
      </c>
    </row>
    <row r="9" spans="2:6" x14ac:dyDescent="0.2">
      <c r="E9" s="55"/>
    </row>
    <row r="11" spans="2:6" x14ac:dyDescent="0.2">
      <c r="B11" s="53" t="s">
        <v>284</v>
      </c>
      <c r="C11" s="53" t="s">
        <v>285</v>
      </c>
      <c r="D11" s="53" t="s">
        <v>286</v>
      </c>
      <c r="E11" s="53" t="s">
        <v>287</v>
      </c>
      <c r="F11" s="53" t="s">
        <v>288</v>
      </c>
    </row>
    <row r="12" spans="2:6" x14ac:dyDescent="0.2">
      <c r="B12" s="53">
        <f>ROW()-ROW(LoanCalculator[[#Headers],[Period]])</f>
        <v>1</v>
      </c>
      <c r="C12" s="59">
        <f>D5</f>
        <v>200000</v>
      </c>
      <c r="D12" s="59">
        <f>ROUND(LoanCalculator[[#This Row],[Opening balance]]*$D$7/12,2)</f>
        <v>918.33</v>
      </c>
      <c r="E12" s="59">
        <f>MAX(-$D$6,-LoanCalculator[[#This Row],[Opening balance]]-LoanCalculator[[#This Row],[Interest]])</f>
        <v>-1600</v>
      </c>
      <c r="F12" s="59">
        <f>SUM(LoanCalculator[[#This Row],[Opening balance]:[Repayment]])</f>
        <v>199318.33</v>
      </c>
    </row>
    <row r="13" spans="2:6" x14ac:dyDescent="0.2">
      <c r="B13" s="53">
        <f>ROW()-ROW(LoanCalculator[[#Headers],[Period]])</f>
        <v>2</v>
      </c>
      <c r="C13" s="59">
        <f t="shared" ref="C13:C76" si="0">F12</f>
        <v>199318.33</v>
      </c>
      <c r="D13" s="59">
        <f>ROUND(LoanCalculator[[#This Row],[Opening balance]]*$D$7/12,2)</f>
        <v>915.2</v>
      </c>
      <c r="E13" s="59">
        <f>MAX(-$D$6,-LoanCalculator[[#This Row],[Opening balance]]-LoanCalculator[[#This Row],[Interest]])</f>
        <v>-1600</v>
      </c>
      <c r="F13" s="59">
        <f>SUM(LoanCalculator[[#This Row],[Opening balance]:[Repayment]])</f>
        <v>198633.53</v>
      </c>
    </row>
    <row r="14" spans="2:6" x14ac:dyDescent="0.2">
      <c r="B14" s="53">
        <f>ROW()-ROW(LoanCalculator[[#Headers],[Period]])</f>
        <v>3</v>
      </c>
      <c r="C14" s="59">
        <f t="shared" si="0"/>
        <v>198633.53</v>
      </c>
      <c r="D14" s="59">
        <f>ROUND(LoanCalculator[[#This Row],[Opening balance]]*$D$7/12,2)</f>
        <v>912.06</v>
      </c>
      <c r="E14" s="59">
        <f>MAX(-$D$6,-LoanCalculator[[#This Row],[Opening balance]]-LoanCalculator[[#This Row],[Interest]])</f>
        <v>-1600</v>
      </c>
      <c r="F14" s="59">
        <f>SUM(LoanCalculator[[#This Row],[Opening balance]:[Repayment]])</f>
        <v>197945.59</v>
      </c>
    </row>
    <row r="15" spans="2:6" x14ac:dyDescent="0.2">
      <c r="B15" s="53">
        <f>ROW()-ROW(LoanCalculator[[#Headers],[Period]])</f>
        <v>4</v>
      </c>
      <c r="C15" s="59">
        <f t="shared" si="0"/>
        <v>197945.59</v>
      </c>
      <c r="D15" s="59">
        <f>ROUND(LoanCalculator[[#This Row],[Opening balance]]*$D$7/12,2)</f>
        <v>908.9</v>
      </c>
      <c r="E15" s="59">
        <f>MAX(-$D$6,-LoanCalculator[[#This Row],[Opening balance]]-LoanCalculator[[#This Row],[Interest]])</f>
        <v>-1600</v>
      </c>
      <c r="F15" s="59">
        <f>SUM(LoanCalculator[[#This Row],[Opening balance]:[Repayment]])</f>
        <v>197254.49</v>
      </c>
    </row>
    <row r="16" spans="2:6" x14ac:dyDescent="0.2">
      <c r="B16" s="53">
        <f>ROW()-ROW(LoanCalculator[[#Headers],[Period]])</f>
        <v>5</v>
      </c>
      <c r="C16" s="59">
        <f t="shared" si="0"/>
        <v>197254.49</v>
      </c>
      <c r="D16" s="59">
        <f>ROUND(LoanCalculator[[#This Row],[Opening balance]]*$D$7/12,2)</f>
        <v>905.73</v>
      </c>
      <c r="E16" s="59">
        <f>MAX(-$D$6,-LoanCalculator[[#This Row],[Opening balance]]-LoanCalculator[[#This Row],[Interest]])</f>
        <v>-1600</v>
      </c>
      <c r="F16" s="59">
        <f>SUM(LoanCalculator[[#This Row],[Opening balance]:[Repayment]])</f>
        <v>196560.22</v>
      </c>
    </row>
    <row r="17" spans="2:6" x14ac:dyDescent="0.2">
      <c r="B17" s="53">
        <f>ROW()-ROW(LoanCalculator[[#Headers],[Period]])</f>
        <v>6</v>
      </c>
      <c r="C17" s="59">
        <f t="shared" si="0"/>
        <v>196560.22</v>
      </c>
      <c r="D17" s="59">
        <f>ROUND(LoanCalculator[[#This Row],[Opening balance]]*$D$7/12,2)</f>
        <v>902.54</v>
      </c>
      <c r="E17" s="59">
        <f>MAX(-$D$6,-LoanCalculator[[#This Row],[Opening balance]]-LoanCalculator[[#This Row],[Interest]])</f>
        <v>-1600</v>
      </c>
      <c r="F17" s="59">
        <f>SUM(LoanCalculator[[#This Row],[Opening balance]:[Repayment]])</f>
        <v>195862.76</v>
      </c>
    </row>
    <row r="18" spans="2:6" x14ac:dyDescent="0.2">
      <c r="B18" s="53">
        <f>ROW()-ROW(LoanCalculator[[#Headers],[Period]])</f>
        <v>7</v>
      </c>
      <c r="C18" s="59">
        <f t="shared" si="0"/>
        <v>195862.76</v>
      </c>
      <c r="D18" s="59">
        <f>ROUND(LoanCalculator[[#This Row],[Opening balance]]*$D$7/12,2)</f>
        <v>899.34</v>
      </c>
      <c r="E18" s="59">
        <f>MAX(-$D$6,-LoanCalculator[[#This Row],[Opening balance]]-LoanCalculator[[#This Row],[Interest]])</f>
        <v>-1600</v>
      </c>
      <c r="F18" s="59">
        <f>SUM(LoanCalculator[[#This Row],[Opening balance]:[Repayment]])</f>
        <v>195162.1</v>
      </c>
    </row>
    <row r="19" spans="2:6" x14ac:dyDescent="0.2">
      <c r="B19" s="53">
        <f>ROW()-ROW(LoanCalculator[[#Headers],[Period]])</f>
        <v>8</v>
      </c>
      <c r="C19" s="59">
        <f t="shared" si="0"/>
        <v>195162.1</v>
      </c>
      <c r="D19" s="59">
        <f>ROUND(LoanCalculator[[#This Row],[Opening balance]]*$D$7/12,2)</f>
        <v>896.12</v>
      </c>
      <c r="E19" s="59">
        <f>MAX(-$D$6,-LoanCalculator[[#This Row],[Opening balance]]-LoanCalculator[[#This Row],[Interest]])</f>
        <v>-1600</v>
      </c>
      <c r="F19" s="59">
        <f>SUM(LoanCalculator[[#This Row],[Opening balance]:[Repayment]])</f>
        <v>194458.22</v>
      </c>
    </row>
    <row r="20" spans="2:6" x14ac:dyDescent="0.2">
      <c r="B20" s="53">
        <f>ROW()-ROW(LoanCalculator[[#Headers],[Period]])</f>
        <v>9</v>
      </c>
      <c r="C20" s="59">
        <f t="shared" si="0"/>
        <v>194458.22</v>
      </c>
      <c r="D20" s="59">
        <f>ROUND(LoanCalculator[[#This Row],[Opening balance]]*$D$7/12,2)</f>
        <v>892.89</v>
      </c>
      <c r="E20" s="59">
        <f>MAX(-$D$6,-LoanCalculator[[#This Row],[Opening balance]]-LoanCalculator[[#This Row],[Interest]])</f>
        <v>-1600</v>
      </c>
      <c r="F20" s="59">
        <f>SUM(LoanCalculator[[#This Row],[Opening balance]:[Repayment]])</f>
        <v>193751.11000000002</v>
      </c>
    </row>
    <row r="21" spans="2:6" x14ac:dyDescent="0.2">
      <c r="B21" s="53">
        <f>ROW()-ROW(LoanCalculator[[#Headers],[Period]])</f>
        <v>10</v>
      </c>
      <c r="C21" s="59">
        <f t="shared" si="0"/>
        <v>193751.11000000002</v>
      </c>
      <c r="D21" s="59">
        <f>ROUND(LoanCalculator[[#This Row],[Opening balance]]*$D$7/12,2)</f>
        <v>889.64</v>
      </c>
      <c r="E21" s="59">
        <f>MAX(-$D$6,-LoanCalculator[[#This Row],[Opening balance]]-LoanCalculator[[#This Row],[Interest]])</f>
        <v>-1600</v>
      </c>
      <c r="F21" s="59">
        <f>SUM(LoanCalculator[[#This Row],[Opening balance]:[Repayment]])</f>
        <v>193040.75000000003</v>
      </c>
    </row>
    <row r="22" spans="2:6" x14ac:dyDescent="0.2">
      <c r="B22" s="53">
        <f>ROW()-ROW(LoanCalculator[[#Headers],[Period]])</f>
        <v>11</v>
      </c>
      <c r="C22" s="59">
        <f t="shared" si="0"/>
        <v>193040.75000000003</v>
      </c>
      <c r="D22" s="59">
        <f>ROUND(LoanCalculator[[#This Row],[Opening balance]]*$D$7/12,2)</f>
        <v>886.38</v>
      </c>
      <c r="E22" s="59">
        <f>MAX(-$D$6,-LoanCalculator[[#This Row],[Opening balance]]-LoanCalculator[[#This Row],[Interest]])</f>
        <v>-1600</v>
      </c>
      <c r="F22" s="59">
        <f>SUM(LoanCalculator[[#This Row],[Opening balance]:[Repayment]])</f>
        <v>192327.13000000003</v>
      </c>
    </row>
    <row r="23" spans="2:6" x14ac:dyDescent="0.2">
      <c r="B23" s="53">
        <f>ROW()-ROW(LoanCalculator[[#Headers],[Period]])</f>
        <v>12</v>
      </c>
      <c r="C23" s="59">
        <f t="shared" si="0"/>
        <v>192327.13000000003</v>
      </c>
      <c r="D23" s="59">
        <f>ROUND(LoanCalculator[[#This Row],[Opening balance]]*$D$7/12,2)</f>
        <v>883.1</v>
      </c>
      <c r="E23" s="59">
        <f>MAX(-$D$6,-LoanCalculator[[#This Row],[Opening balance]]-LoanCalculator[[#This Row],[Interest]])</f>
        <v>-1600</v>
      </c>
      <c r="F23" s="59">
        <f>SUM(LoanCalculator[[#This Row],[Opening balance]:[Repayment]])</f>
        <v>191610.23000000004</v>
      </c>
    </row>
    <row r="24" spans="2:6" x14ac:dyDescent="0.2">
      <c r="B24" s="53">
        <f>ROW()-ROW(LoanCalculator[[#Headers],[Period]])</f>
        <v>13</v>
      </c>
      <c r="C24" s="59">
        <f t="shared" si="0"/>
        <v>191610.23000000004</v>
      </c>
      <c r="D24" s="59">
        <f>ROUND(LoanCalculator[[#This Row],[Opening balance]]*$D$7/12,2)</f>
        <v>879.81</v>
      </c>
      <c r="E24" s="59">
        <f>MAX(-$D$6,-LoanCalculator[[#This Row],[Opening balance]]-LoanCalculator[[#This Row],[Interest]])</f>
        <v>-1600</v>
      </c>
      <c r="F24" s="59">
        <f>SUM(LoanCalculator[[#This Row],[Opening balance]:[Repayment]])</f>
        <v>190890.04000000004</v>
      </c>
    </row>
    <row r="25" spans="2:6" x14ac:dyDescent="0.2">
      <c r="B25" s="53">
        <f>ROW()-ROW(LoanCalculator[[#Headers],[Period]])</f>
        <v>14</v>
      </c>
      <c r="C25" s="59">
        <f t="shared" si="0"/>
        <v>190890.04000000004</v>
      </c>
      <c r="D25" s="59">
        <f>ROUND(LoanCalculator[[#This Row],[Opening balance]]*$D$7/12,2)</f>
        <v>876.5</v>
      </c>
      <c r="E25" s="59">
        <f>MAX(-$D$6,-LoanCalculator[[#This Row],[Opening balance]]-LoanCalculator[[#This Row],[Interest]])</f>
        <v>-1600</v>
      </c>
      <c r="F25" s="59">
        <f>SUM(LoanCalculator[[#This Row],[Opening balance]:[Repayment]])</f>
        <v>190166.54000000004</v>
      </c>
    </row>
    <row r="26" spans="2:6" x14ac:dyDescent="0.2">
      <c r="B26" s="53">
        <f>ROW()-ROW(LoanCalculator[[#Headers],[Period]])</f>
        <v>15</v>
      </c>
      <c r="C26" s="59">
        <f t="shared" si="0"/>
        <v>190166.54000000004</v>
      </c>
      <c r="D26" s="59">
        <f>ROUND(LoanCalculator[[#This Row],[Opening balance]]*$D$7/12,2)</f>
        <v>873.18</v>
      </c>
      <c r="E26" s="59">
        <f>MAX(-$D$6,-LoanCalculator[[#This Row],[Opening balance]]-LoanCalculator[[#This Row],[Interest]])</f>
        <v>-1600</v>
      </c>
      <c r="F26" s="59">
        <f>SUM(LoanCalculator[[#This Row],[Opening balance]:[Repayment]])</f>
        <v>189439.72000000003</v>
      </c>
    </row>
    <row r="27" spans="2:6" x14ac:dyDescent="0.2">
      <c r="B27" s="53">
        <f>ROW()-ROW(LoanCalculator[[#Headers],[Period]])</f>
        <v>16</v>
      </c>
      <c r="C27" s="59">
        <f t="shared" si="0"/>
        <v>189439.72000000003</v>
      </c>
      <c r="D27" s="59">
        <f>ROUND(LoanCalculator[[#This Row],[Opening balance]]*$D$7/12,2)</f>
        <v>869.84</v>
      </c>
      <c r="E27" s="59">
        <f>MAX(-$D$6,-LoanCalculator[[#This Row],[Opening balance]]-LoanCalculator[[#This Row],[Interest]])</f>
        <v>-1600</v>
      </c>
      <c r="F27" s="59">
        <f>SUM(LoanCalculator[[#This Row],[Opening balance]:[Repayment]])</f>
        <v>188709.56000000003</v>
      </c>
    </row>
    <row r="28" spans="2:6" x14ac:dyDescent="0.2">
      <c r="B28" s="53">
        <f>ROW()-ROW(LoanCalculator[[#Headers],[Period]])</f>
        <v>17</v>
      </c>
      <c r="C28" s="59">
        <f t="shared" si="0"/>
        <v>188709.56000000003</v>
      </c>
      <c r="D28" s="59">
        <f>ROUND(LoanCalculator[[#This Row],[Opening balance]]*$D$7/12,2)</f>
        <v>866.49</v>
      </c>
      <c r="E28" s="59">
        <f>MAX(-$D$6,-LoanCalculator[[#This Row],[Opening balance]]-LoanCalculator[[#This Row],[Interest]])</f>
        <v>-1600</v>
      </c>
      <c r="F28" s="59">
        <f>SUM(LoanCalculator[[#This Row],[Opening balance]:[Repayment]])</f>
        <v>187976.05000000002</v>
      </c>
    </row>
    <row r="29" spans="2:6" x14ac:dyDescent="0.2">
      <c r="B29" s="53">
        <f>ROW()-ROW(LoanCalculator[[#Headers],[Period]])</f>
        <v>18</v>
      </c>
      <c r="C29" s="59">
        <f t="shared" si="0"/>
        <v>187976.05000000002</v>
      </c>
      <c r="D29" s="59">
        <f>ROUND(LoanCalculator[[#This Row],[Opening balance]]*$D$7/12,2)</f>
        <v>863.12</v>
      </c>
      <c r="E29" s="59">
        <f>MAX(-$D$6,-LoanCalculator[[#This Row],[Opening balance]]-LoanCalculator[[#This Row],[Interest]])</f>
        <v>-1600</v>
      </c>
      <c r="F29" s="59">
        <f>SUM(LoanCalculator[[#This Row],[Opening balance]:[Repayment]])</f>
        <v>187239.17</v>
      </c>
    </row>
    <row r="30" spans="2:6" x14ac:dyDescent="0.2">
      <c r="B30" s="53">
        <f>ROW()-ROW(LoanCalculator[[#Headers],[Period]])</f>
        <v>19</v>
      </c>
      <c r="C30" s="59">
        <f t="shared" si="0"/>
        <v>187239.17</v>
      </c>
      <c r="D30" s="59">
        <f>ROUND(LoanCalculator[[#This Row],[Opening balance]]*$D$7/12,2)</f>
        <v>859.74</v>
      </c>
      <c r="E30" s="59">
        <f>MAX(-$D$6,-LoanCalculator[[#This Row],[Opening balance]]-LoanCalculator[[#This Row],[Interest]])</f>
        <v>-1600</v>
      </c>
      <c r="F30" s="59">
        <f>SUM(LoanCalculator[[#This Row],[Opening balance]:[Repayment]])</f>
        <v>186498.91</v>
      </c>
    </row>
    <row r="31" spans="2:6" x14ac:dyDescent="0.2">
      <c r="B31" s="53">
        <f>ROW()-ROW(LoanCalculator[[#Headers],[Period]])</f>
        <v>20</v>
      </c>
      <c r="C31" s="59">
        <f t="shared" si="0"/>
        <v>186498.91</v>
      </c>
      <c r="D31" s="59">
        <f>ROUND(LoanCalculator[[#This Row],[Opening balance]]*$D$7/12,2)</f>
        <v>856.34</v>
      </c>
      <c r="E31" s="59">
        <f>MAX(-$D$6,-LoanCalculator[[#This Row],[Opening balance]]-LoanCalculator[[#This Row],[Interest]])</f>
        <v>-1600</v>
      </c>
      <c r="F31" s="59">
        <f>SUM(LoanCalculator[[#This Row],[Opening balance]:[Repayment]])</f>
        <v>185755.25</v>
      </c>
    </row>
    <row r="32" spans="2:6" x14ac:dyDescent="0.2">
      <c r="B32" s="53">
        <f>ROW()-ROW(LoanCalculator[[#Headers],[Period]])</f>
        <v>21</v>
      </c>
      <c r="C32" s="59">
        <f t="shared" si="0"/>
        <v>185755.25</v>
      </c>
      <c r="D32" s="59">
        <f>ROUND(LoanCalculator[[#This Row],[Opening balance]]*$D$7/12,2)</f>
        <v>852.93</v>
      </c>
      <c r="E32" s="59">
        <f>MAX(-$D$6,-LoanCalculator[[#This Row],[Opening balance]]-LoanCalculator[[#This Row],[Interest]])</f>
        <v>-1600</v>
      </c>
      <c r="F32" s="59">
        <f>SUM(LoanCalculator[[#This Row],[Opening balance]:[Repayment]])</f>
        <v>185008.18</v>
      </c>
    </row>
    <row r="33" spans="2:6" x14ac:dyDescent="0.2">
      <c r="B33" s="53">
        <f>ROW()-ROW(LoanCalculator[[#Headers],[Period]])</f>
        <v>22</v>
      </c>
      <c r="C33" s="59">
        <f t="shared" si="0"/>
        <v>185008.18</v>
      </c>
      <c r="D33" s="59">
        <f>ROUND(LoanCalculator[[#This Row],[Opening balance]]*$D$7/12,2)</f>
        <v>849.5</v>
      </c>
      <c r="E33" s="59">
        <f>MAX(-$D$6,-LoanCalculator[[#This Row],[Opening balance]]-LoanCalculator[[#This Row],[Interest]])</f>
        <v>-1600</v>
      </c>
      <c r="F33" s="59">
        <f>SUM(LoanCalculator[[#This Row],[Opening balance]:[Repayment]])</f>
        <v>184257.68</v>
      </c>
    </row>
    <row r="34" spans="2:6" x14ac:dyDescent="0.2">
      <c r="B34" s="53">
        <f>ROW()-ROW(LoanCalculator[[#Headers],[Period]])</f>
        <v>23</v>
      </c>
      <c r="C34" s="59">
        <f t="shared" si="0"/>
        <v>184257.68</v>
      </c>
      <c r="D34" s="59">
        <f>ROUND(LoanCalculator[[#This Row],[Opening balance]]*$D$7/12,2)</f>
        <v>846.05</v>
      </c>
      <c r="E34" s="59">
        <f>MAX(-$D$6,-LoanCalculator[[#This Row],[Opening balance]]-LoanCalculator[[#This Row],[Interest]])</f>
        <v>-1600</v>
      </c>
      <c r="F34" s="59">
        <f>SUM(LoanCalculator[[#This Row],[Opening balance]:[Repayment]])</f>
        <v>183503.72999999998</v>
      </c>
    </row>
    <row r="35" spans="2:6" x14ac:dyDescent="0.2">
      <c r="B35" s="53">
        <f>ROW()-ROW(LoanCalculator[[#Headers],[Period]])</f>
        <v>24</v>
      </c>
      <c r="C35" s="59">
        <f t="shared" si="0"/>
        <v>183503.72999999998</v>
      </c>
      <c r="D35" s="59">
        <f>ROUND(LoanCalculator[[#This Row],[Opening balance]]*$D$7/12,2)</f>
        <v>842.59</v>
      </c>
      <c r="E35" s="59">
        <f>MAX(-$D$6,-LoanCalculator[[#This Row],[Opening balance]]-LoanCalculator[[#This Row],[Interest]])</f>
        <v>-1600</v>
      </c>
      <c r="F35" s="59">
        <f>SUM(LoanCalculator[[#This Row],[Opening balance]:[Repayment]])</f>
        <v>182746.31999999998</v>
      </c>
    </row>
    <row r="36" spans="2:6" x14ac:dyDescent="0.2">
      <c r="B36" s="53">
        <f>ROW()-ROW(LoanCalculator[[#Headers],[Period]])</f>
        <v>25</v>
      </c>
      <c r="C36" s="59">
        <f t="shared" si="0"/>
        <v>182746.31999999998</v>
      </c>
      <c r="D36" s="59">
        <f>ROUND(LoanCalculator[[#This Row],[Opening balance]]*$D$7/12,2)</f>
        <v>839.11</v>
      </c>
      <c r="E36" s="59">
        <f>MAX(-$D$6,-LoanCalculator[[#This Row],[Opening balance]]-LoanCalculator[[#This Row],[Interest]])</f>
        <v>-1600</v>
      </c>
      <c r="F36" s="59">
        <f>SUM(LoanCalculator[[#This Row],[Opening balance]:[Repayment]])</f>
        <v>181985.42999999996</v>
      </c>
    </row>
    <row r="37" spans="2:6" x14ac:dyDescent="0.2">
      <c r="B37" s="53">
        <f>ROW()-ROW(LoanCalculator[[#Headers],[Period]])</f>
        <v>26</v>
      </c>
      <c r="C37" s="59">
        <f t="shared" si="0"/>
        <v>181985.42999999996</v>
      </c>
      <c r="D37" s="59">
        <f>ROUND(LoanCalculator[[#This Row],[Opening balance]]*$D$7/12,2)</f>
        <v>835.62</v>
      </c>
      <c r="E37" s="59">
        <f>MAX(-$D$6,-LoanCalculator[[#This Row],[Opening balance]]-LoanCalculator[[#This Row],[Interest]])</f>
        <v>-1600</v>
      </c>
      <c r="F37" s="59">
        <f>SUM(LoanCalculator[[#This Row],[Opening balance]:[Repayment]])</f>
        <v>181221.04999999996</v>
      </c>
    </row>
    <row r="38" spans="2:6" x14ac:dyDescent="0.2">
      <c r="B38" s="53">
        <f>ROW()-ROW(LoanCalculator[[#Headers],[Period]])</f>
        <v>27</v>
      </c>
      <c r="C38" s="59">
        <f t="shared" si="0"/>
        <v>181221.04999999996</v>
      </c>
      <c r="D38" s="59">
        <f>ROUND(LoanCalculator[[#This Row],[Opening balance]]*$D$7/12,2)</f>
        <v>832.11</v>
      </c>
      <c r="E38" s="59">
        <f>MAX(-$D$6,-LoanCalculator[[#This Row],[Opening balance]]-LoanCalculator[[#This Row],[Interest]])</f>
        <v>-1600</v>
      </c>
      <c r="F38" s="59">
        <f>SUM(LoanCalculator[[#This Row],[Opening balance]:[Repayment]])</f>
        <v>180453.15999999995</v>
      </c>
    </row>
    <row r="39" spans="2:6" x14ac:dyDescent="0.2">
      <c r="B39" s="53">
        <f>ROW()-ROW(LoanCalculator[[#Headers],[Period]])</f>
        <v>28</v>
      </c>
      <c r="C39" s="59">
        <f t="shared" si="0"/>
        <v>180453.15999999995</v>
      </c>
      <c r="D39" s="59">
        <f>ROUND(LoanCalculator[[#This Row],[Opening balance]]*$D$7/12,2)</f>
        <v>828.58</v>
      </c>
      <c r="E39" s="59">
        <f>MAX(-$D$6,-LoanCalculator[[#This Row],[Opening balance]]-LoanCalculator[[#This Row],[Interest]])</f>
        <v>-1600</v>
      </c>
      <c r="F39" s="59">
        <f>SUM(LoanCalculator[[#This Row],[Opening balance]:[Repayment]])</f>
        <v>179681.73999999993</v>
      </c>
    </row>
    <row r="40" spans="2:6" x14ac:dyDescent="0.2">
      <c r="B40" s="53">
        <f>ROW()-ROW(LoanCalculator[[#Headers],[Period]])</f>
        <v>29</v>
      </c>
      <c r="C40" s="59">
        <f t="shared" si="0"/>
        <v>179681.73999999993</v>
      </c>
      <c r="D40" s="59">
        <f>ROUND(LoanCalculator[[#This Row],[Opening balance]]*$D$7/12,2)</f>
        <v>825.04</v>
      </c>
      <c r="E40" s="59">
        <f>MAX(-$D$6,-LoanCalculator[[#This Row],[Opening balance]]-LoanCalculator[[#This Row],[Interest]])</f>
        <v>-1600</v>
      </c>
      <c r="F40" s="59">
        <f>SUM(LoanCalculator[[#This Row],[Opening balance]:[Repayment]])</f>
        <v>178906.77999999994</v>
      </c>
    </row>
    <row r="41" spans="2:6" x14ac:dyDescent="0.2">
      <c r="B41" s="53">
        <f>ROW()-ROW(LoanCalculator[[#Headers],[Period]])</f>
        <v>30</v>
      </c>
      <c r="C41" s="59">
        <f t="shared" si="0"/>
        <v>178906.77999999994</v>
      </c>
      <c r="D41" s="59">
        <f>ROUND(LoanCalculator[[#This Row],[Opening balance]]*$D$7/12,2)</f>
        <v>821.48</v>
      </c>
      <c r="E41" s="59">
        <f>MAX(-$D$6,-LoanCalculator[[#This Row],[Opening balance]]-LoanCalculator[[#This Row],[Interest]])</f>
        <v>-1600</v>
      </c>
      <c r="F41" s="59">
        <f>SUM(LoanCalculator[[#This Row],[Opening balance]:[Repayment]])</f>
        <v>178128.25999999995</v>
      </c>
    </row>
    <row r="42" spans="2:6" x14ac:dyDescent="0.2">
      <c r="B42" s="53">
        <f>ROW()-ROW(LoanCalculator[[#Headers],[Period]])</f>
        <v>31</v>
      </c>
      <c r="C42" s="59">
        <f t="shared" si="0"/>
        <v>178128.25999999995</v>
      </c>
      <c r="D42" s="59">
        <f>ROUND(LoanCalculator[[#This Row],[Opening balance]]*$D$7/12,2)</f>
        <v>817.91</v>
      </c>
      <c r="E42" s="59">
        <f>MAX(-$D$6,-LoanCalculator[[#This Row],[Opening balance]]-LoanCalculator[[#This Row],[Interest]])</f>
        <v>-1600</v>
      </c>
      <c r="F42" s="59">
        <f>SUM(LoanCalculator[[#This Row],[Opening balance]:[Repayment]])</f>
        <v>177346.16999999995</v>
      </c>
    </row>
    <row r="43" spans="2:6" x14ac:dyDescent="0.2">
      <c r="B43" s="53">
        <f>ROW()-ROW(LoanCalculator[[#Headers],[Period]])</f>
        <v>32</v>
      </c>
      <c r="C43" s="59">
        <f t="shared" si="0"/>
        <v>177346.16999999995</v>
      </c>
      <c r="D43" s="59">
        <f>ROUND(LoanCalculator[[#This Row],[Opening balance]]*$D$7/12,2)</f>
        <v>814.31</v>
      </c>
      <c r="E43" s="59">
        <f>MAX(-$D$6,-LoanCalculator[[#This Row],[Opening balance]]-LoanCalculator[[#This Row],[Interest]])</f>
        <v>-1600</v>
      </c>
      <c r="F43" s="59">
        <f>SUM(LoanCalculator[[#This Row],[Opening balance]:[Repayment]])</f>
        <v>176560.47999999995</v>
      </c>
    </row>
    <row r="44" spans="2:6" x14ac:dyDescent="0.2">
      <c r="B44" s="53">
        <f>ROW()-ROW(LoanCalculator[[#Headers],[Period]])</f>
        <v>33</v>
      </c>
      <c r="C44" s="59">
        <f t="shared" si="0"/>
        <v>176560.47999999995</v>
      </c>
      <c r="D44" s="59">
        <f>ROUND(LoanCalculator[[#This Row],[Opening balance]]*$D$7/12,2)</f>
        <v>810.71</v>
      </c>
      <c r="E44" s="59">
        <f>MAX(-$D$6,-LoanCalculator[[#This Row],[Opening balance]]-LoanCalculator[[#This Row],[Interest]])</f>
        <v>-1600</v>
      </c>
      <c r="F44" s="59">
        <f>SUM(LoanCalculator[[#This Row],[Opening balance]:[Repayment]])</f>
        <v>175771.18999999994</v>
      </c>
    </row>
    <row r="45" spans="2:6" x14ac:dyDescent="0.2">
      <c r="B45" s="53">
        <f>ROW()-ROW(LoanCalculator[[#Headers],[Period]])</f>
        <v>34</v>
      </c>
      <c r="C45" s="59">
        <f t="shared" si="0"/>
        <v>175771.18999999994</v>
      </c>
      <c r="D45" s="59">
        <f>ROUND(LoanCalculator[[#This Row],[Opening balance]]*$D$7/12,2)</f>
        <v>807.08</v>
      </c>
      <c r="E45" s="59">
        <f>MAX(-$D$6,-LoanCalculator[[#This Row],[Opening balance]]-LoanCalculator[[#This Row],[Interest]])</f>
        <v>-1600</v>
      </c>
      <c r="F45" s="59">
        <f>SUM(LoanCalculator[[#This Row],[Opening balance]:[Repayment]])</f>
        <v>174978.26999999993</v>
      </c>
    </row>
    <row r="46" spans="2:6" x14ac:dyDescent="0.2">
      <c r="B46" s="53">
        <f>ROW()-ROW(LoanCalculator[[#Headers],[Period]])</f>
        <v>35</v>
      </c>
      <c r="C46" s="59">
        <f t="shared" si="0"/>
        <v>174978.26999999993</v>
      </c>
      <c r="D46" s="59">
        <f>ROUND(LoanCalculator[[#This Row],[Opening balance]]*$D$7/12,2)</f>
        <v>803.44</v>
      </c>
      <c r="E46" s="59">
        <f>MAX(-$D$6,-LoanCalculator[[#This Row],[Opening balance]]-LoanCalculator[[#This Row],[Interest]])</f>
        <v>-1600</v>
      </c>
      <c r="F46" s="59">
        <f>SUM(LoanCalculator[[#This Row],[Opening balance]:[Repayment]])</f>
        <v>174181.70999999993</v>
      </c>
    </row>
    <row r="47" spans="2:6" x14ac:dyDescent="0.2">
      <c r="B47" s="53">
        <f>ROW()-ROW(LoanCalculator[[#Headers],[Period]])</f>
        <v>36</v>
      </c>
      <c r="C47" s="59">
        <f t="shared" si="0"/>
        <v>174181.70999999993</v>
      </c>
      <c r="D47" s="59">
        <f>ROUND(LoanCalculator[[#This Row],[Opening balance]]*$D$7/12,2)</f>
        <v>799.78</v>
      </c>
      <c r="E47" s="59">
        <f>MAX(-$D$6,-LoanCalculator[[#This Row],[Opening balance]]-LoanCalculator[[#This Row],[Interest]])</f>
        <v>-1600</v>
      </c>
      <c r="F47" s="59">
        <f>SUM(LoanCalculator[[#This Row],[Opening balance]:[Repayment]])</f>
        <v>173381.48999999993</v>
      </c>
    </row>
    <row r="48" spans="2:6" x14ac:dyDescent="0.2">
      <c r="B48" s="53">
        <f>ROW()-ROW(LoanCalculator[[#Headers],[Period]])</f>
        <v>37</v>
      </c>
      <c r="C48" s="59">
        <f t="shared" si="0"/>
        <v>173381.48999999993</v>
      </c>
      <c r="D48" s="59">
        <f>ROUND(LoanCalculator[[#This Row],[Opening balance]]*$D$7/12,2)</f>
        <v>796.11</v>
      </c>
      <c r="E48" s="59">
        <f>MAX(-$D$6,-LoanCalculator[[#This Row],[Opening balance]]-LoanCalculator[[#This Row],[Interest]])</f>
        <v>-1600</v>
      </c>
      <c r="F48" s="59">
        <f>SUM(LoanCalculator[[#This Row],[Opening balance]:[Repayment]])</f>
        <v>172577.59999999992</v>
      </c>
    </row>
    <row r="49" spans="2:6" x14ac:dyDescent="0.2">
      <c r="B49" s="53">
        <f>ROW()-ROW(LoanCalculator[[#Headers],[Period]])</f>
        <v>38</v>
      </c>
      <c r="C49" s="59">
        <f t="shared" si="0"/>
        <v>172577.59999999992</v>
      </c>
      <c r="D49" s="59">
        <f>ROUND(LoanCalculator[[#This Row],[Opening balance]]*$D$7/12,2)</f>
        <v>792.42</v>
      </c>
      <c r="E49" s="59">
        <f>MAX(-$D$6,-LoanCalculator[[#This Row],[Opening balance]]-LoanCalculator[[#This Row],[Interest]])</f>
        <v>-1600</v>
      </c>
      <c r="F49" s="59">
        <f>SUM(LoanCalculator[[#This Row],[Opening balance]:[Repayment]])</f>
        <v>171770.01999999993</v>
      </c>
    </row>
    <row r="50" spans="2:6" x14ac:dyDescent="0.2">
      <c r="B50" s="53">
        <f>ROW()-ROW(LoanCalculator[[#Headers],[Period]])</f>
        <v>39</v>
      </c>
      <c r="C50" s="59">
        <f t="shared" si="0"/>
        <v>171770.01999999993</v>
      </c>
      <c r="D50" s="59">
        <f>ROUND(LoanCalculator[[#This Row],[Opening balance]]*$D$7/12,2)</f>
        <v>788.71</v>
      </c>
      <c r="E50" s="59">
        <f>MAX(-$D$6,-LoanCalculator[[#This Row],[Opening balance]]-LoanCalculator[[#This Row],[Interest]])</f>
        <v>-1600</v>
      </c>
      <c r="F50" s="59">
        <f>SUM(LoanCalculator[[#This Row],[Opening balance]:[Repayment]])</f>
        <v>170958.72999999992</v>
      </c>
    </row>
    <row r="51" spans="2:6" x14ac:dyDescent="0.2">
      <c r="B51" s="53">
        <f>ROW()-ROW(LoanCalculator[[#Headers],[Period]])</f>
        <v>40</v>
      </c>
      <c r="C51" s="59">
        <f t="shared" si="0"/>
        <v>170958.72999999992</v>
      </c>
      <c r="D51" s="59">
        <f>ROUND(LoanCalculator[[#This Row],[Opening balance]]*$D$7/12,2)</f>
        <v>784.99</v>
      </c>
      <c r="E51" s="59">
        <f>MAX(-$D$6,-LoanCalculator[[#This Row],[Opening balance]]-LoanCalculator[[#This Row],[Interest]])</f>
        <v>-1600</v>
      </c>
      <c r="F51" s="59">
        <f>SUM(LoanCalculator[[#This Row],[Opening balance]:[Repayment]])</f>
        <v>170143.71999999991</v>
      </c>
    </row>
    <row r="52" spans="2:6" x14ac:dyDescent="0.2">
      <c r="B52" s="53">
        <f>ROW()-ROW(LoanCalculator[[#Headers],[Period]])</f>
        <v>41</v>
      </c>
      <c r="C52" s="59">
        <f t="shared" si="0"/>
        <v>170143.71999999991</v>
      </c>
      <c r="D52" s="59">
        <f>ROUND(LoanCalculator[[#This Row],[Opening balance]]*$D$7/12,2)</f>
        <v>781.24</v>
      </c>
      <c r="E52" s="59">
        <f>MAX(-$D$6,-LoanCalculator[[#This Row],[Opening balance]]-LoanCalculator[[#This Row],[Interest]])</f>
        <v>-1600</v>
      </c>
      <c r="F52" s="59">
        <f>SUM(LoanCalculator[[#This Row],[Opening balance]:[Repayment]])</f>
        <v>169324.9599999999</v>
      </c>
    </row>
    <row r="53" spans="2:6" x14ac:dyDescent="0.2">
      <c r="B53" s="53">
        <f>ROW()-ROW(LoanCalculator[[#Headers],[Period]])</f>
        <v>42</v>
      </c>
      <c r="C53" s="59">
        <f t="shared" si="0"/>
        <v>169324.9599999999</v>
      </c>
      <c r="D53" s="59">
        <f>ROUND(LoanCalculator[[#This Row],[Opening balance]]*$D$7/12,2)</f>
        <v>777.48</v>
      </c>
      <c r="E53" s="59">
        <f>MAX(-$D$6,-LoanCalculator[[#This Row],[Opening balance]]-LoanCalculator[[#This Row],[Interest]])</f>
        <v>-1600</v>
      </c>
      <c r="F53" s="59">
        <f>SUM(LoanCalculator[[#This Row],[Opening balance]:[Repayment]])</f>
        <v>168502.43999999992</v>
      </c>
    </row>
    <row r="54" spans="2:6" x14ac:dyDescent="0.2">
      <c r="B54" s="53">
        <f>ROW()-ROW(LoanCalculator[[#Headers],[Period]])</f>
        <v>43</v>
      </c>
      <c r="C54" s="59">
        <f t="shared" si="0"/>
        <v>168502.43999999992</v>
      </c>
      <c r="D54" s="59">
        <f>ROUND(LoanCalculator[[#This Row],[Opening balance]]*$D$7/12,2)</f>
        <v>773.71</v>
      </c>
      <c r="E54" s="59">
        <f>MAX(-$D$6,-LoanCalculator[[#This Row],[Opening balance]]-LoanCalculator[[#This Row],[Interest]])</f>
        <v>-1600</v>
      </c>
      <c r="F54" s="59">
        <f>SUM(LoanCalculator[[#This Row],[Opening balance]:[Repayment]])</f>
        <v>167676.14999999991</v>
      </c>
    </row>
    <row r="55" spans="2:6" x14ac:dyDescent="0.2">
      <c r="B55" s="53">
        <f>ROW()-ROW(LoanCalculator[[#Headers],[Period]])</f>
        <v>44</v>
      </c>
      <c r="C55" s="59">
        <f t="shared" si="0"/>
        <v>167676.14999999991</v>
      </c>
      <c r="D55" s="59">
        <f>ROUND(LoanCalculator[[#This Row],[Opening balance]]*$D$7/12,2)</f>
        <v>769.91</v>
      </c>
      <c r="E55" s="59">
        <f>MAX(-$D$6,-LoanCalculator[[#This Row],[Opening balance]]-LoanCalculator[[#This Row],[Interest]])</f>
        <v>-1600</v>
      </c>
      <c r="F55" s="59">
        <f>SUM(LoanCalculator[[#This Row],[Opening balance]:[Repayment]])</f>
        <v>166846.05999999991</v>
      </c>
    </row>
    <row r="56" spans="2:6" x14ac:dyDescent="0.2">
      <c r="B56" s="53">
        <f>ROW()-ROW(LoanCalculator[[#Headers],[Period]])</f>
        <v>45</v>
      </c>
      <c r="C56" s="59">
        <f t="shared" si="0"/>
        <v>166846.05999999991</v>
      </c>
      <c r="D56" s="59">
        <f>ROUND(LoanCalculator[[#This Row],[Opening balance]]*$D$7/12,2)</f>
        <v>766.1</v>
      </c>
      <c r="E56" s="59">
        <f>MAX(-$D$6,-LoanCalculator[[#This Row],[Opening balance]]-LoanCalculator[[#This Row],[Interest]])</f>
        <v>-1600</v>
      </c>
      <c r="F56" s="59">
        <f>SUM(LoanCalculator[[#This Row],[Opening balance]:[Repayment]])</f>
        <v>166012.15999999992</v>
      </c>
    </row>
    <row r="57" spans="2:6" x14ac:dyDescent="0.2">
      <c r="B57" s="53">
        <f>ROW()-ROW(LoanCalculator[[#Headers],[Period]])</f>
        <v>46</v>
      </c>
      <c r="C57" s="59">
        <f t="shared" si="0"/>
        <v>166012.15999999992</v>
      </c>
      <c r="D57" s="59">
        <f>ROUND(LoanCalculator[[#This Row],[Opening balance]]*$D$7/12,2)</f>
        <v>762.27</v>
      </c>
      <c r="E57" s="59">
        <f>MAX(-$D$6,-LoanCalculator[[#This Row],[Opening balance]]-LoanCalculator[[#This Row],[Interest]])</f>
        <v>-1600</v>
      </c>
      <c r="F57" s="59">
        <f>SUM(LoanCalculator[[#This Row],[Opening balance]:[Repayment]])</f>
        <v>165174.42999999991</v>
      </c>
    </row>
    <row r="58" spans="2:6" x14ac:dyDescent="0.2">
      <c r="B58" s="53">
        <f>ROW()-ROW(LoanCalculator[[#Headers],[Period]])</f>
        <v>47</v>
      </c>
      <c r="C58" s="59">
        <f t="shared" si="0"/>
        <v>165174.42999999991</v>
      </c>
      <c r="D58" s="59">
        <f>ROUND(LoanCalculator[[#This Row],[Opening balance]]*$D$7/12,2)</f>
        <v>758.43</v>
      </c>
      <c r="E58" s="59">
        <f>MAX(-$D$6,-LoanCalculator[[#This Row],[Opening balance]]-LoanCalculator[[#This Row],[Interest]])</f>
        <v>-1600</v>
      </c>
      <c r="F58" s="59">
        <f>SUM(LoanCalculator[[#This Row],[Opening balance]:[Repayment]])</f>
        <v>164332.8599999999</v>
      </c>
    </row>
    <row r="59" spans="2:6" x14ac:dyDescent="0.2">
      <c r="B59" s="53">
        <f>ROW()-ROW(LoanCalculator[[#Headers],[Period]])</f>
        <v>48</v>
      </c>
      <c r="C59" s="59">
        <f t="shared" si="0"/>
        <v>164332.8599999999</v>
      </c>
      <c r="D59" s="59">
        <f>ROUND(LoanCalculator[[#This Row],[Opening balance]]*$D$7/12,2)</f>
        <v>754.56</v>
      </c>
      <c r="E59" s="59">
        <f>MAX(-$D$6,-LoanCalculator[[#This Row],[Opening balance]]-LoanCalculator[[#This Row],[Interest]])</f>
        <v>-1600</v>
      </c>
      <c r="F59" s="59">
        <f>SUM(LoanCalculator[[#This Row],[Opening balance]:[Repayment]])</f>
        <v>163487.4199999999</v>
      </c>
    </row>
    <row r="60" spans="2:6" x14ac:dyDescent="0.2">
      <c r="B60" s="53">
        <f>ROW()-ROW(LoanCalculator[[#Headers],[Period]])</f>
        <v>49</v>
      </c>
      <c r="C60" s="59">
        <f t="shared" si="0"/>
        <v>163487.4199999999</v>
      </c>
      <c r="D60" s="59">
        <f>ROUND(LoanCalculator[[#This Row],[Opening balance]]*$D$7/12,2)</f>
        <v>750.68</v>
      </c>
      <c r="E60" s="59">
        <f>MAX(-$D$6,-LoanCalculator[[#This Row],[Opening balance]]-LoanCalculator[[#This Row],[Interest]])</f>
        <v>-1600</v>
      </c>
      <c r="F60" s="59">
        <f>SUM(LoanCalculator[[#This Row],[Opening balance]:[Repayment]])</f>
        <v>162638.09999999989</v>
      </c>
    </row>
    <row r="61" spans="2:6" x14ac:dyDescent="0.2">
      <c r="B61" s="53">
        <f>ROW()-ROW(LoanCalculator[[#Headers],[Period]])</f>
        <v>50</v>
      </c>
      <c r="C61" s="59">
        <f t="shared" si="0"/>
        <v>162638.09999999989</v>
      </c>
      <c r="D61" s="59">
        <f>ROUND(LoanCalculator[[#This Row],[Opening balance]]*$D$7/12,2)</f>
        <v>746.78</v>
      </c>
      <c r="E61" s="59">
        <f>MAX(-$D$6,-LoanCalculator[[#This Row],[Opening balance]]-LoanCalculator[[#This Row],[Interest]])</f>
        <v>-1600</v>
      </c>
      <c r="F61" s="59">
        <f>SUM(LoanCalculator[[#This Row],[Opening balance]:[Repayment]])</f>
        <v>161784.87999999989</v>
      </c>
    </row>
    <row r="62" spans="2:6" x14ac:dyDescent="0.2">
      <c r="B62" s="53">
        <f>ROW()-ROW(LoanCalculator[[#Headers],[Period]])</f>
        <v>51</v>
      </c>
      <c r="C62" s="59">
        <f t="shared" si="0"/>
        <v>161784.87999999989</v>
      </c>
      <c r="D62" s="59">
        <f>ROUND(LoanCalculator[[#This Row],[Opening balance]]*$D$7/12,2)</f>
        <v>742.86</v>
      </c>
      <c r="E62" s="59">
        <f>MAX(-$D$6,-LoanCalculator[[#This Row],[Opening balance]]-LoanCalculator[[#This Row],[Interest]])</f>
        <v>-1600</v>
      </c>
      <c r="F62" s="59">
        <f>SUM(LoanCalculator[[#This Row],[Opening balance]:[Repayment]])</f>
        <v>160927.73999999987</v>
      </c>
    </row>
    <row r="63" spans="2:6" x14ac:dyDescent="0.2">
      <c r="B63" s="53">
        <f>ROW()-ROW(LoanCalculator[[#Headers],[Period]])</f>
        <v>52</v>
      </c>
      <c r="C63" s="59">
        <f t="shared" si="0"/>
        <v>160927.73999999987</v>
      </c>
      <c r="D63" s="59">
        <f>ROUND(LoanCalculator[[#This Row],[Opening balance]]*$D$7/12,2)</f>
        <v>738.93</v>
      </c>
      <c r="E63" s="59">
        <f>MAX(-$D$6,-LoanCalculator[[#This Row],[Opening balance]]-LoanCalculator[[#This Row],[Interest]])</f>
        <v>-1600</v>
      </c>
      <c r="F63" s="59">
        <f>SUM(LoanCalculator[[#This Row],[Opening balance]:[Repayment]])</f>
        <v>160066.66999999987</v>
      </c>
    </row>
    <row r="64" spans="2:6" x14ac:dyDescent="0.2">
      <c r="B64" s="53">
        <f>ROW()-ROW(LoanCalculator[[#Headers],[Period]])</f>
        <v>53</v>
      </c>
      <c r="C64" s="59">
        <f t="shared" si="0"/>
        <v>160066.66999999987</v>
      </c>
      <c r="D64" s="59">
        <f>ROUND(LoanCalculator[[#This Row],[Opening balance]]*$D$7/12,2)</f>
        <v>734.97</v>
      </c>
      <c r="E64" s="59">
        <f>MAX(-$D$6,-LoanCalculator[[#This Row],[Opening balance]]-LoanCalculator[[#This Row],[Interest]])</f>
        <v>-1600</v>
      </c>
      <c r="F64" s="59">
        <f>SUM(LoanCalculator[[#This Row],[Opening balance]:[Repayment]])</f>
        <v>159201.63999999987</v>
      </c>
    </row>
    <row r="65" spans="2:6" x14ac:dyDescent="0.2">
      <c r="B65" s="53">
        <f>ROW()-ROW(LoanCalculator[[#Headers],[Period]])</f>
        <v>54</v>
      </c>
      <c r="C65" s="59">
        <f t="shared" si="0"/>
        <v>159201.63999999987</v>
      </c>
      <c r="D65" s="59">
        <f>ROUND(LoanCalculator[[#This Row],[Opening balance]]*$D$7/12,2)</f>
        <v>731</v>
      </c>
      <c r="E65" s="59">
        <f>MAX(-$D$6,-LoanCalculator[[#This Row],[Opening balance]]-LoanCalculator[[#This Row],[Interest]])</f>
        <v>-1600</v>
      </c>
      <c r="F65" s="59">
        <f>SUM(LoanCalculator[[#This Row],[Opening balance]:[Repayment]])</f>
        <v>158332.63999999987</v>
      </c>
    </row>
    <row r="66" spans="2:6" x14ac:dyDescent="0.2">
      <c r="B66" s="53">
        <f>ROW()-ROW(LoanCalculator[[#Headers],[Period]])</f>
        <v>55</v>
      </c>
      <c r="C66" s="59">
        <f t="shared" si="0"/>
        <v>158332.63999999987</v>
      </c>
      <c r="D66" s="59">
        <f>ROUND(LoanCalculator[[#This Row],[Opening balance]]*$D$7/12,2)</f>
        <v>727.01</v>
      </c>
      <c r="E66" s="59">
        <f>MAX(-$D$6,-LoanCalculator[[#This Row],[Opening balance]]-LoanCalculator[[#This Row],[Interest]])</f>
        <v>-1600</v>
      </c>
      <c r="F66" s="59">
        <f>SUM(LoanCalculator[[#This Row],[Opening balance]:[Repayment]])</f>
        <v>157459.64999999988</v>
      </c>
    </row>
    <row r="67" spans="2:6" x14ac:dyDescent="0.2">
      <c r="B67" s="53">
        <f>ROW()-ROW(LoanCalculator[[#Headers],[Period]])</f>
        <v>56</v>
      </c>
      <c r="C67" s="59">
        <f t="shared" si="0"/>
        <v>157459.64999999988</v>
      </c>
      <c r="D67" s="59">
        <f>ROUND(LoanCalculator[[#This Row],[Opening balance]]*$D$7/12,2)</f>
        <v>723</v>
      </c>
      <c r="E67" s="59">
        <f>MAX(-$D$6,-LoanCalculator[[#This Row],[Opening balance]]-LoanCalculator[[#This Row],[Interest]])</f>
        <v>-1600</v>
      </c>
      <c r="F67" s="59">
        <f>SUM(LoanCalculator[[#This Row],[Opening balance]:[Repayment]])</f>
        <v>156582.64999999988</v>
      </c>
    </row>
    <row r="68" spans="2:6" x14ac:dyDescent="0.2">
      <c r="B68" s="53">
        <f>ROW()-ROW(LoanCalculator[[#Headers],[Period]])</f>
        <v>57</v>
      </c>
      <c r="C68" s="59">
        <f t="shared" si="0"/>
        <v>156582.64999999988</v>
      </c>
      <c r="D68" s="59">
        <f>ROUND(LoanCalculator[[#This Row],[Opening balance]]*$D$7/12,2)</f>
        <v>718.98</v>
      </c>
      <c r="E68" s="59">
        <f>MAX(-$D$6,-LoanCalculator[[#This Row],[Opening balance]]-LoanCalculator[[#This Row],[Interest]])</f>
        <v>-1600</v>
      </c>
      <c r="F68" s="59">
        <f>SUM(LoanCalculator[[#This Row],[Opening balance]:[Repayment]])</f>
        <v>155701.62999999989</v>
      </c>
    </row>
    <row r="69" spans="2:6" x14ac:dyDescent="0.2">
      <c r="B69" s="53">
        <f>ROW()-ROW(LoanCalculator[[#Headers],[Period]])</f>
        <v>58</v>
      </c>
      <c r="C69" s="59">
        <f t="shared" si="0"/>
        <v>155701.62999999989</v>
      </c>
      <c r="D69" s="59">
        <f>ROUND(LoanCalculator[[#This Row],[Opening balance]]*$D$7/12,2)</f>
        <v>714.93</v>
      </c>
      <c r="E69" s="59">
        <f>MAX(-$D$6,-LoanCalculator[[#This Row],[Opening balance]]-LoanCalculator[[#This Row],[Interest]])</f>
        <v>-1600</v>
      </c>
      <c r="F69" s="59">
        <f>SUM(LoanCalculator[[#This Row],[Opening balance]:[Repayment]])</f>
        <v>154816.55999999988</v>
      </c>
    </row>
    <row r="70" spans="2:6" x14ac:dyDescent="0.2">
      <c r="B70" s="53">
        <f>ROW()-ROW(LoanCalculator[[#Headers],[Period]])</f>
        <v>59</v>
      </c>
      <c r="C70" s="59">
        <f t="shared" si="0"/>
        <v>154816.55999999988</v>
      </c>
      <c r="D70" s="59">
        <f>ROUND(LoanCalculator[[#This Row],[Opening balance]]*$D$7/12,2)</f>
        <v>710.87</v>
      </c>
      <c r="E70" s="59">
        <f>MAX(-$D$6,-LoanCalculator[[#This Row],[Opening balance]]-LoanCalculator[[#This Row],[Interest]])</f>
        <v>-1600</v>
      </c>
      <c r="F70" s="59">
        <f>SUM(LoanCalculator[[#This Row],[Opening balance]:[Repayment]])</f>
        <v>153927.42999999988</v>
      </c>
    </row>
    <row r="71" spans="2:6" x14ac:dyDescent="0.2">
      <c r="B71" s="53">
        <f>ROW()-ROW(LoanCalculator[[#Headers],[Period]])</f>
        <v>60</v>
      </c>
      <c r="C71" s="59">
        <f t="shared" si="0"/>
        <v>153927.42999999988</v>
      </c>
      <c r="D71" s="59">
        <f>ROUND(LoanCalculator[[#This Row],[Opening balance]]*$D$7/12,2)</f>
        <v>706.78</v>
      </c>
      <c r="E71" s="59">
        <f>MAX(-$D$6,-LoanCalculator[[#This Row],[Opening balance]]-LoanCalculator[[#This Row],[Interest]])</f>
        <v>-1600</v>
      </c>
      <c r="F71" s="59">
        <f>SUM(LoanCalculator[[#This Row],[Opening balance]:[Repayment]])</f>
        <v>153034.20999999988</v>
      </c>
    </row>
    <row r="72" spans="2:6" x14ac:dyDescent="0.2">
      <c r="B72" s="53">
        <f>ROW()-ROW(LoanCalculator[[#Headers],[Period]])</f>
        <v>61</v>
      </c>
      <c r="C72" s="59">
        <f t="shared" si="0"/>
        <v>153034.20999999988</v>
      </c>
      <c r="D72" s="59">
        <f>ROUND(LoanCalculator[[#This Row],[Opening balance]]*$D$7/12,2)</f>
        <v>702.68</v>
      </c>
      <c r="E72" s="59">
        <f>MAX(-$D$6,-LoanCalculator[[#This Row],[Opening balance]]-LoanCalculator[[#This Row],[Interest]])</f>
        <v>-1600</v>
      </c>
      <c r="F72" s="59">
        <f>SUM(LoanCalculator[[#This Row],[Opening balance]:[Repayment]])</f>
        <v>152136.88999999987</v>
      </c>
    </row>
    <row r="73" spans="2:6" x14ac:dyDescent="0.2">
      <c r="B73" s="53">
        <f>ROW()-ROW(LoanCalculator[[#Headers],[Period]])</f>
        <v>62</v>
      </c>
      <c r="C73" s="59">
        <f t="shared" si="0"/>
        <v>152136.88999999987</v>
      </c>
      <c r="D73" s="59">
        <f>ROUND(LoanCalculator[[#This Row],[Opening balance]]*$D$7/12,2)</f>
        <v>698.56</v>
      </c>
      <c r="E73" s="59">
        <f>MAX(-$D$6,-LoanCalculator[[#This Row],[Opening balance]]-LoanCalculator[[#This Row],[Interest]])</f>
        <v>-1600</v>
      </c>
      <c r="F73" s="59">
        <f>SUM(LoanCalculator[[#This Row],[Opening balance]:[Repayment]])</f>
        <v>151235.44999999987</v>
      </c>
    </row>
    <row r="74" spans="2:6" x14ac:dyDescent="0.2">
      <c r="B74" s="53">
        <f>ROW()-ROW(LoanCalculator[[#Headers],[Period]])</f>
        <v>63</v>
      </c>
      <c r="C74" s="59">
        <f t="shared" si="0"/>
        <v>151235.44999999987</v>
      </c>
      <c r="D74" s="59">
        <f>ROUND(LoanCalculator[[#This Row],[Opening balance]]*$D$7/12,2)</f>
        <v>694.42</v>
      </c>
      <c r="E74" s="59">
        <f>MAX(-$D$6,-LoanCalculator[[#This Row],[Opening balance]]-LoanCalculator[[#This Row],[Interest]])</f>
        <v>-1600</v>
      </c>
      <c r="F74" s="59">
        <f>SUM(LoanCalculator[[#This Row],[Opening balance]:[Repayment]])</f>
        <v>150329.86999999988</v>
      </c>
    </row>
    <row r="75" spans="2:6" x14ac:dyDescent="0.2">
      <c r="B75" s="53">
        <f>ROW()-ROW(LoanCalculator[[#Headers],[Period]])</f>
        <v>64</v>
      </c>
      <c r="C75" s="59">
        <f t="shared" si="0"/>
        <v>150329.86999999988</v>
      </c>
      <c r="D75" s="59">
        <f>ROUND(LoanCalculator[[#This Row],[Opening balance]]*$D$7/12,2)</f>
        <v>690.26</v>
      </c>
      <c r="E75" s="59">
        <f>MAX(-$D$6,-LoanCalculator[[#This Row],[Opening balance]]-LoanCalculator[[#This Row],[Interest]])</f>
        <v>-1600</v>
      </c>
      <c r="F75" s="59">
        <f>SUM(LoanCalculator[[#This Row],[Opening balance]:[Repayment]])</f>
        <v>149420.12999999989</v>
      </c>
    </row>
    <row r="76" spans="2:6" x14ac:dyDescent="0.2">
      <c r="B76" s="53">
        <f>ROW()-ROW(LoanCalculator[[#Headers],[Period]])</f>
        <v>65</v>
      </c>
      <c r="C76" s="59">
        <f t="shared" si="0"/>
        <v>149420.12999999989</v>
      </c>
      <c r="D76" s="59">
        <f>ROUND(LoanCalculator[[#This Row],[Opening balance]]*$D$7/12,2)</f>
        <v>686.09</v>
      </c>
      <c r="E76" s="59">
        <f>MAX(-$D$6,-LoanCalculator[[#This Row],[Opening balance]]-LoanCalculator[[#This Row],[Interest]])</f>
        <v>-1600</v>
      </c>
      <c r="F76" s="59">
        <f>SUM(LoanCalculator[[#This Row],[Opening balance]:[Repayment]])</f>
        <v>148506.21999999988</v>
      </c>
    </row>
    <row r="77" spans="2:6" x14ac:dyDescent="0.2">
      <c r="B77" s="53">
        <f>ROW()-ROW(LoanCalculator[[#Headers],[Period]])</f>
        <v>66</v>
      </c>
      <c r="C77" s="59">
        <f t="shared" ref="C77:C140" si="1">F76</f>
        <v>148506.21999999988</v>
      </c>
      <c r="D77" s="59">
        <f>ROUND(LoanCalculator[[#This Row],[Opening balance]]*$D$7/12,2)</f>
        <v>681.89</v>
      </c>
      <c r="E77" s="59">
        <f>MAX(-$D$6,-LoanCalculator[[#This Row],[Opening balance]]-LoanCalculator[[#This Row],[Interest]])</f>
        <v>-1600</v>
      </c>
      <c r="F77" s="59">
        <f>SUM(LoanCalculator[[#This Row],[Opening balance]:[Repayment]])</f>
        <v>147588.1099999999</v>
      </c>
    </row>
    <row r="78" spans="2:6" x14ac:dyDescent="0.2">
      <c r="B78" s="53">
        <f>ROW()-ROW(LoanCalculator[[#Headers],[Period]])</f>
        <v>67</v>
      </c>
      <c r="C78" s="59">
        <f t="shared" si="1"/>
        <v>147588.1099999999</v>
      </c>
      <c r="D78" s="59">
        <f>ROUND(LoanCalculator[[#This Row],[Opening balance]]*$D$7/12,2)</f>
        <v>677.68</v>
      </c>
      <c r="E78" s="59">
        <f>MAX(-$D$6,-LoanCalculator[[#This Row],[Opening balance]]-LoanCalculator[[#This Row],[Interest]])</f>
        <v>-1600</v>
      </c>
      <c r="F78" s="59">
        <f>SUM(LoanCalculator[[#This Row],[Opening balance]:[Repayment]])</f>
        <v>146665.78999999989</v>
      </c>
    </row>
    <row r="79" spans="2:6" x14ac:dyDescent="0.2">
      <c r="B79" s="53">
        <f>ROW()-ROW(LoanCalculator[[#Headers],[Period]])</f>
        <v>68</v>
      </c>
      <c r="C79" s="59">
        <f t="shared" si="1"/>
        <v>146665.78999999989</v>
      </c>
      <c r="D79" s="59">
        <f>ROUND(LoanCalculator[[#This Row],[Opening balance]]*$D$7/12,2)</f>
        <v>673.44</v>
      </c>
      <c r="E79" s="59">
        <f>MAX(-$D$6,-LoanCalculator[[#This Row],[Opening balance]]-LoanCalculator[[#This Row],[Interest]])</f>
        <v>-1600</v>
      </c>
      <c r="F79" s="59">
        <f>SUM(LoanCalculator[[#This Row],[Opening balance]:[Repayment]])</f>
        <v>145739.22999999989</v>
      </c>
    </row>
    <row r="80" spans="2:6" x14ac:dyDescent="0.2">
      <c r="B80" s="53">
        <f>ROW()-ROW(LoanCalculator[[#Headers],[Period]])</f>
        <v>69</v>
      </c>
      <c r="C80" s="59">
        <f t="shared" si="1"/>
        <v>145739.22999999989</v>
      </c>
      <c r="D80" s="59">
        <f>ROUND(LoanCalculator[[#This Row],[Opening balance]]*$D$7/12,2)</f>
        <v>669.19</v>
      </c>
      <c r="E80" s="59">
        <f>MAX(-$D$6,-LoanCalculator[[#This Row],[Opening balance]]-LoanCalculator[[#This Row],[Interest]])</f>
        <v>-1600</v>
      </c>
      <c r="F80" s="59">
        <f>SUM(LoanCalculator[[#This Row],[Opening balance]:[Repayment]])</f>
        <v>144808.4199999999</v>
      </c>
    </row>
    <row r="81" spans="2:6" x14ac:dyDescent="0.2">
      <c r="B81" s="53">
        <f>ROW()-ROW(LoanCalculator[[#Headers],[Period]])</f>
        <v>70</v>
      </c>
      <c r="C81" s="59">
        <f t="shared" si="1"/>
        <v>144808.4199999999</v>
      </c>
      <c r="D81" s="59">
        <f>ROUND(LoanCalculator[[#This Row],[Opening balance]]*$D$7/12,2)</f>
        <v>664.91</v>
      </c>
      <c r="E81" s="59">
        <f>MAX(-$D$6,-LoanCalculator[[#This Row],[Opening balance]]-LoanCalculator[[#This Row],[Interest]])</f>
        <v>-1600</v>
      </c>
      <c r="F81" s="59">
        <f>SUM(LoanCalculator[[#This Row],[Opening balance]:[Repayment]])</f>
        <v>143873.3299999999</v>
      </c>
    </row>
    <row r="82" spans="2:6" x14ac:dyDescent="0.2">
      <c r="B82" s="53">
        <f>ROW()-ROW(LoanCalculator[[#Headers],[Period]])</f>
        <v>71</v>
      </c>
      <c r="C82" s="59">
        <f t="shared" si="1"/>
        <v>143873.3299999999</v>
      </c>
      <c r="D82" s="59">
        <f>ROUND(LoanCalculator[[#This Row],[Opening balance]]*$D$7/12,2)</f>
        <v>660.62</v>
      </c>
      <c r="E82" s="59">
        <f>MAX(-$D$6,-LoanCalculator[[#This Row],[Opening balance]]-LoanCalculator[[#This Row],[Interest]])</f>
        <v>-1600</v>
      </c>
      <c r="F82" s="59">
        <f>SUM(LoanCalculator[[#This Row],[Opening balance]:[Repayment]])</f>
        <v>142933.9499999999</v>
      </c>
    </row>
    <row r="83" spans="2:6" x14ac:dyDescent="0.2">
      <c r="B83" s="53">
        <f>ROW()-ROW(LoanCalculator[[#Headers],[Period]])</f>
        <v>72</v>
      </c>
      <c r="C83" s="59">
        <f t="shared" si="1"/>
        <v>142933.9499999999</v>
      </c>
      <c r="D83" s="59">
        <f>ROUND(LoanCalculator[[#This Row],[Opening balance]]*$D$7/12,2)</f>
        <v>656.31</v>
      </c>
      <c r="E83" s="59">
        <f>MAX(-$D$6,-LoanCalculator[[#This Row],[Opening balance]]-LoanCalculator[[#This Row],[Interest]])</f>
        <v>-1600</v>
      </c>
      <c r="F83" s="59">
        <f>SUM(LoanCalculator[[#This Row],[Opening balance]:[Repayment]])</f>
        <v>141990.25999999989</v>
      </c>
    </row>
    <row r="84" spans="2:6" x14ac:dyDescent="0.2">
      <c r="B84" s="53">
        <f>ROW()-ROW(LoanCalculator[[#Headers],[Period]])</f>
        <v>73</v>
      </c>
      <c r="C84" s="59">
        <f t="shared" si="1"/>
        <v>141990.25999999989</v>
      </c>
      <c r="D84" s="59">
        <f>ROUND(LoanCalculator[[#This Row],[Opening balance]]*$D$7/12,2)</f>
        <v>651.97</v>
      </c>
      <c r="E84" s="59">
        <f>MAX(-$D$6,-LoanCalculator[[#This Row],[Opening balance]]-LoanCalculator[[#This Row],[Interest]])</f>
        <v>-1600</v>
      </c>
      <c r="F84" s="59">
        <f>SUM(LoanCalculator[[#This Row],[Opening balance]:[Repayment]])</f>
        <v>141042.22999999989</v>
      </c>
    </row>
    <row r="85" spans="2:6" x14ac:dyDescent="0.2">
      <c r="B85" s="53">
        <f>ROW()-ROW(LoanCalculator[[#Headers],[Period]])</f>
        <v>74</v>
      </c>
      <c r="C85" s="59">
        <f t="shared" si="1"/>
        <v>141042.22999999989</v>
      </c>
      <c r="D85" s="59">
        <f>ROUND(LoanCalculator[[#This Row],[Opening balance]]*$D$7/12,2)</f>
        <v>647.62</v>
      </c>
      <c r="E85" s="59">
        <f>MAX(-$D$6,-LoanCalculator[[#This Row],[Opening balance]]-LoanCalculator[[#This Row],[Interest]])</f>
        <v>-1600</v>
      </c>
      <c r="F85" s="59">
        <f>SUM(LoanCalculator[[#This Row],[Opening balance]:[Repayment]])</f>
        <v>140089.84999999989</v>
      </c>
    </row>
    <row r="86" spans="2:6" x14ac:dyDescent="0.2">
      <c r="B86" s="53">
        <f>ROW()-ROW(LoanCalculator[[#Headers],[Period]])</f>
        <v>75</v>
      </c>
      <c r="C86" s="59">
        <f t="shared" si="1"/>
        <v>140089.84999999989</v>
      </c>
      <c r="D86" s="59">
        <f>ROUND(LoanCalculator[[#This Row],[Opening balance]]*$D$7/12,2)</f>
        <v>643.25</v>
      </c>
      <c r="E86" s="59">
        <f>MAX(-$D$6,-LoanCalculator[[#This Row],[Opening balance]]-LoanCalculator[[#This Row],[Interest]])</f>
        <v>-1600</v>
      </c>
      <c r="F86" s="59">
        <f>SUM(LoanCalculator[[#This Row],[Opening balance]:[Repayment]])</f>
        <v>139133.09999999989</v>
      </c>
    </row>
    <row r="87" spans="2:6" x14ac:dyDescent="0.2">
      <c r="B87" s="53">
        <f>ROW()-ROW(LoanCalculator[[#Headers],[Period]])</f>
        <v>76</v>
      </c>
      <c r="C87" s="59">
        <f t="shared" si="1"/>
        <v>139133.09999999989</v>
      </c>
      <c r="D87" s="59">
        <f>ROUND(LoanCalculator[[#This Row],[Opening balance]]*$D$7/12,2)</f>
        <v>638.85</v>
      </c>
      <c r="E87" s="59">
        <f>MAX(-$D$6,-LoanCalculator[[#This Row],[Opening balance]]-LoanCalculator[[#This Row],[Interest]])</f>
        <v>-1600</v>
      </c>
      <c r="F87" s="59">
        <f>SUM(LoanCalculator[[#This Row],[Opening balance]:[Repayment]])</f>
        <v>138171.9499999999</v>
      </c>
    </row>
    <row r="88" spans="2:6" x14ac:dyDescent="0.2">
      <c r="B88" s="53">
        <f>ROW()-ROW(LoanCalculator[[#Headers],[Period]])</f>
        <v>77</v>
      </c>
      <c r="C88" s="59">
        <f t="shared" si="1"/>
        <v>138171.9499999999</v>
      </c>
      <c r="D88" s="59">
        <f>ROUND(LoanCalculator[[#This Row],[Opening balance]]*$D$7/12,2)</f>
        <v>634.44000000000005</v>
      </c>
      <c r="E88" s="59">
        <f>MAX(-$D$6,-LoanCalculator[[#This Row],[Opening balance]]-LoanCalculator[[#This Row],[Interest]])</f>
        <v>-1600</v>
      </c>
      <c r="F88" s="59">
        <f>SUM(LoanCalculator[[#This Row],[Opening balance]:[Repayment]])</f>
        <v>137206.3899999999</v>
      </c>
    </row>
    <row r="89" spans="2:6" x14ac:dyDescent="0.2">
      <c r="B89" s="53">
        <f>ROW()-ROW(LoanCalculator[[#Headers],[Period]])</f>
        <v>78</v>
      </c>
      <c r="C89" s="59">
        <f t="shared" si="1"/>
        <v>137206.3899999999</v>
      </c>
      <c r="D89" s="59">
        <f>ROUND(LoanCalculator[[#This Row],[Opening balance]]*$D$7/12,2)</f>
        <v>630.01</v>
      </c>
      <c r="E89" s="59">
        <f>MAX(-$D$6,-LoanCalculator[[#This Row],[Opening balance]]-LoanCalculator[[#This Row],[Interest]])</f>
        <v>-1600</v>
      </c>
      <c r="F89" s="59">
        <f>SUM(LoanCalculator[[#This Row],[Opening balance]:[Repayment]])</f>
        <v>136236.39999999991</v>
      </c>
    </row>
    <row r="90" spans="2:6" x14ac:dyDescent="0.2">
      <c r="B90" s="53">
        <f>ROW()-ROW(LoanCalculator[[#Headers],[Period]])</f>
        <v>79</v>
      </c>
      <c r="C90" s="59">
        <f t="shared" si="1"/>
        <v>136236.39999999991</v>
      </c>
      <c r="D90" s="59">
        <f>ROUND(LoanCalculator[[#This Row],[Opening balance]]*$D$7/12,2)</f>
        <v>625.54999999999995</v>
      </c>
      <c r="E90" s="59">
        <f>MAX(-$D$6,-LoanCalculator[[#This Row],[Opening balance]]-LoanCalculator[[#This Row],[Interest]])</f>
        <v>-1600</v>
      </c>
      <c r="F90" s="59">
        <f>SUM(LoanCalculator[[#This Row],[Opening balance]:[Repayment]])</f>
        <v>135261.9499999999</v>
      </c>
    </row>
    <row r="91" spans="2:6" x14ac:dyDescent="0.2">
      <c r="B91" s="53">
        <f>ROW()-ROW(LoanCalculator[[#Headers],[Period]])</f>
        <v>80</v>
      </c>
      <c r="C91" s="59">
        <f t="shared" si="1"/>
        <v>135261.9499999999</v>
      </c>
      <c r="D91" s="59">
        <f>ROUND(LoanCalculator[[#This Row],[Opening balance]]*$D$7/12,2)</f>
        <v>621.08000000000004</v>
      </c>
      <c r="E91" s="59">
        <f>MAX(-$D$6,-LoanCalculator[[#This Row],[Opening balance]]-LoanCalculator[[#This Row],[Interest]])</f>
        <v>-1600</v>
      </c>
      <c r="F91" s="59">
        <f>SUM(LoanCalculator[[#This Row],[Opening balance]:[Repayment]])</f>
        <v>134283.02999999988</v>
      </c>
    </row>
    <row r="92" spans="2:6" x14ac:dyDescent="0.2">
      <c r="B92" s="53">
        <f>ROW()-ROW(LoanCalculator[[#Headers],[Period]])</f>
        <v>81</v>
      </c>
      <c r="C92" s="59">
        <f t="shared" si="1"/>
        <v>134283.02999999988</v>
      </c>
      <c r="D92" s="59">
        <f>ROUND(LoanCalculator[[#This Row],[Opening balance]]*$D$7/12,2)</f>
        <v>616.58000000000004</v>
      </c>
      <c r="E92" s="59">
        <f>MAX(-$D$6,-LoanCalculator[[#This Row],[Opening balance]]-LoanCalculator[[#This Row],[Interest]])</f>
        <v>-1600</v>
      </c>
      <c r="F92" s="59">
        <f>SUM(LoanCalculator[[#This Row],[Opening balance]:[Repayment]])</f>
        <v>133299.60999999987</v>
      </c>
    </row>
    <row r="93" spans="2:6" x14ac:dyDescent="0.2">
      <c r="B93" s="53">
        <f>ROW()-ROW(LoanCalculator[[#Headers],[Period]])</f>
        <v>82</v>
      </c>
      <c r="C93" s="59">
        <f t="shared" si="1"/>
        <v>133299.60999999987</v>
      </c>
      <c r="D93" s="59">
        <f>ROUND(LoanCalculator[[#This Row],[Opening balance]]*$D$7/12,2)</f>
        <v>612.07000000000005</v>
      </c>
      <c r="E93" s="59">
        <f>MAX(-$D$6,-LoanCalculator[[#This Row],[Opening balance]]-LoanCalculator[[#This Row],[Interest]])</f>
        <v>-1600</v>
      </c>
      <c r="F93" s="59">
        <f>SUM(LoanCalculator[[#This Row],[Opening balance]:[Repayment]])</f>
        <v>132311.67999999988</v>
      </c>
    </row>
    <row r="94" spans="2:6" x14ac:dyDescent="0.2">
      <c r="B94" s="53">
        <f>ROW()-ROW(LoanCalculator[[#Headers],[Period]])</f>
        <v>83</v>
      </c>
      <c r="C94" s="59">
        <f t="shared" si="1"/>
        <v>132311.67999999988</v>
      </c>
      <c r="D94" s="59">
        <f>ROUND(LoanCalculator[[#This Row],[Opening balance]]*$D$7/12,2)</f>
        <v>607.53</v>
      </c>
      <c r="E94" s="59">
        <f>MAX(-$D$6,-LoanCalculator[[#This Row],[Opening balance]]-LoanCalculator[[#This Row],[Interest]])</f>
        <v>-1600</v>
      </c>
      <c r="F94" s="59">
        <f>SUM(LoanCalculator[[#This Row],[Opening balance]:[Repayment]])</f>
        <v>131319.20999999988</v>
      </c>
    </row>
    <row r="95" spans="2:6" x14ac:dyDescent="0.2">
      <c r="B95" s="53">
        <f>ROW()-ROW(LoanCalculator[[#Headers],[Period]])</f>
        <v>84</v>
      </c>
      <c r="C95" s="59">
        <f t="shared" si="1"/>
        <v>131319.20999999988</v>
      </c>
      <c r="D95" s="59">
        <f>ROUND(LoanCalculator[[#This Row],[Opening balance]]*$D$7/12,2)</f>
        <v>602.97</v>
      </c>
      <c r="E95" s="59">
        <f>MAX(-$D$6,-LoanCalculator[[#This Row],[Opening balance]]-LoanCalculator[[#This Row],[Interest]])</f>
        <v>-1600</v>
      </c>
      <c r="F95" s="59">
        <f>SUM(LoanCalculator[[#This Row],[Opening balance]:[Repayment]])</f>
        <v>130322.17999999988</v>
      </c>
    </row>
    <row r="96" spans="2:6" x14ac:dyDescent="0.2">
      <c r="B96" s="53">
        <f>ROW()-ROW(LoanCalculator[[#Headers],[Period]])</f>
        <v>85</v>
      </c>
      <c r="C96" s="59">
        <f t="shared" si="1"/>
        <v>130322.17999999988</v>
      </c>
      <c r="D96" s="59">
        <f>ROUND(LoanCalculator[[#This Row],[Opening balance]]*$D$7/12,2)</f>
        <v>598.4</v>
      </c>
      <c r="E96" s="59">
        <f>MAX(-$D$6,-LoanCalculator[[#This Row],[Opening balance]]-LoanCalculator[[#This Row],[Interest]])</f>
        <v>-1600</v>
      </c>
      <c r="F96" s="59">
        <f>SUM(LoanCalculator[[#This Row],[Opening balance]:[Repayment]])</f>
        <v>129320.57999999987</v>
      </c>
    </row>
    <row r="97" spans="2:6" x14ac:dyDescent="0.2">
      <c r="B97" s="53">
        <f>ROW()-ROW(LoanCalculator[[#Headers],[Period]])</f>
        <v>86</v>
      </c>
      <c r="C97" s="59">
        <f t="shared" si="1"/>
        <v>129320.57999999987</v>
      </c>
      <c r="D97" s="59">
        <f>ROUND(LoanCalculator[[#This Row],[Opening balance]]*$D$7/12,2)</f>
        <v>593.79999999999995</v>
      </c>
      <c r="E97" s="59">
        <f>MAX(-$D$6,-LoanCalculator[[#This Row],[Opening balance]]-LoanCalculator[[#This Row],[Interest]])</f>
        <v>-1600</v>
      </c>
      <c r="F97" s="59">
        <f>SUM(LoanCalculator[[#This Row],[Opening balance]:[Repayment]])</f>
        <v>128314.37999999987</v>
      </c>
    </row>
    <row r="98" spans="2:6" x14ac:dyDescent="0.2">
      <c r="B98" s="53">
        <f>ROW()-ROW(LoanCalculator[[#Headers],[Period]])</f>
        <v>87</v>
      </c>
      <c r="C98" s="59">
        <f t="shared" si="1"/>
        <v>128314.37999999987</v>
      </c>
      <c r="D98" s="59">
        <f>ROUND(LoanCalculator[[#This Row],[Opening balance]]*$D$7/12,2)</f>
        <v>589.17999999999995</v>
      </c>
      <c r="E98" s="59">
        <f>MAX(-$D$6,-LoanCalculator[[#This Row],[Opening balance]]-LoanCalculator[[#This Row],[Interest]])</f>
        <v>-1600</v>
      </c>
      <c r="F98" s="59">
        <f>SUM(LoanCalculator[[#This Row],[Opening balance]:[Repayment]])</f>
        <v>127303.55999999987</v>
      </c>
    </row>
    <row r="99" spans="2:6" x14ac:dyDescent="0.2">
      <c r="B99" s="53">
        <f>ROW()-ROW(LoanCalculator[[#Headers],[Period]])</f>
        <v>88</v>
      </c>
      <c r="C99" s="59">
        <f t="shared" si="1"/>
        <v>127303.55999999987</v>
      </c>
      <c r="D99" s="59">
        <f>ROUND(LoanCalculator[[#This Row],[Opening balance]]*$D$7/12,2)</f>
        <v>584.54</v>
      </c>
      <c r="E99" s="59">
        <f>MAX(-$D$6,-LoanCalculator[[#This Row],[Opening balance]]-LoanCalculator[[#This Row],[Interest]])</f>
        <v>-1600</v>
      </c>
      <c r="F99" s="59">
        <f>SUM(LoanCalculator[[#This Row],[Opening balance]:[Repayment]])</f>
        <v>126288.09999999986</v>
      </c>
    </row>
    <row r="100" spans="2:6" x14ac:dyDescent="0.2">
      <c r="B100" s="53">
        <f>ROW()-ROW(LoanCalculator[[#Headers],[Period]])</f>
        <v>89</v>
      </c>
      <c r="C100" s="59">
        <f t="shared" si="1"/>
        <v>126288.09999999986</v>
      </c>
      <c r="D100" s="59">
        <f>ROUND(LoanCalculator[[#This Row],[Opening balance]]*$D$7/12,2)</f>
        <v>579.87</v>
      </c>
      <c r="E100" s="59">
        <f>MAX(-$D$6,-LoanCalculator[[#This Row],[Opening balance]]-LoanCalculator[[#This Row],[Interest]])</f>
        <v>-1600</v>
      </c>
      <c r="F100" s="59">
        <f>SUM(LoanCalculator[[#This Row],[Opening balance]:[Repayment]])</f>
        <v>125267.96999999986</v>
      </c>
    </row>
    <row r="101" spans="2:6" x14ac:dyDescent="0.2">
      <c r="B101" s="53">
        <f>ROW()-ROW(LoanCalculator[[#Headers],[Period]])</f>
        <v>90</v>
      </c>
      <c r="C101" s="59">
        <f t="shared" si="1"/>
        <v>125267.96999999986</v>
      </c>
      <c r="D101" s="59">
        <f>ROUND(LoanCalculator[[#This Row],[Opening balance]]*$D$7/12,2)</f>
        <v>575.19000000000005</v>
      </c>
      <c r="E101" s="59">
        <f>MAX(-$D$6,-LoanCalculator[[#This Row],[Opening balance]]-LoanCalculator[[#This Row],[Interest]])</f>
        <v>-1600</v>
      </c>
      <c r="F101" s="59">
        <f>SUM(LoanCalculator[[#This Row],[Opening balance]:[Repayment]])</f>
        <v>124243.15999999986</v>
      </c>
    </row>
    <row r="102" spans="2:6" x14ac:dyDescent="0.2">
      <c r="B102" s="53">
        <f>ROW()-ROW(LoanCalculator[[#Headers],[Period]])</f>
        <v>91</v>
      </c>
      <c r="C102" s="59">
        <f t="shared" si="1"/>
        <v>124243.15999999986</v>
      </c>
      <c r="D102" s="59">
        <f>ROUND(LoanCalculator[[#This Row],[Opening balance]]*$D$7/12,2)</f>
        <v>570.48</v>
      </c>
      <c r="E102" s="59">
        <f>MAX(-$D$6,-LoanCalculator[[#This Row],[Opening balance]]-LoanCalculator[[#This Row],[Interest]])</f>
        <v>-1600</v>
      </c>
      <c r="F102" s="59">
        <f>SUM(LoanCalculator[[#This Row],[Opening balance]:[Repayment]])</f>
        <v>123213.63999999985</v>
      </c>
    </row>
    <row r="103" spans="2:6" x14ac:dyDescent="0.2">
      <c r="B103" s="53">
        <f>ROW()-ROW(LoanCalculator[[#Headers],[Period]])</f>
        <v>92</v>
      </c>
      <c r="C103" s="59">
        <f t="shared" si="1"/>
        <v>123213.63999999985</v>
      </c>
      <c r="D103" s="59">
        <f>ROUND(LoanCalculator[[#This Row],[Opening balance]]*$D$7/12,2)</f>
        <v>565.76</v>
      </c>
      <c r="E103" s="59">
        <f>MAX(-$D$6,-LoanCalculator[[#This Row],[Opening balance]]-LoanCalculator[[#This Row],[Interest]])</f>
        <v>-1600</v>
      </c>
      <c r="F103" s="59">
        <f>SUM(LoanCalculator[[#This Row],[Opening balance]:[Repayment]])</f>
        <v>122179.39999999985</v>
      </c>
    </row>
    <row r="104" spans="2:6" x14ac:dyDescent="0.2">
      <c r="B104" s="53">
        <f>ROW()-ROW(LoanCalculator[[#Headers],[Period]])</f>
        <v>93</v>
      </c>
      <c r="C104" s="59">
        <f t="shared" si="1"/>
        <v>122179.39999999985</v>
      </c>
      <c r="D104" s="59">
        <f>ROUND(LoanCalculator[[#This Row],[Opening balance]]*$D$7/12,2)</f>
        <v>561.01</v>
      </c>
      <c r="E104" s="59">
        <f>MAX(-$D$6,-LoanCalculator[[#This Row],[Opening balance]]-LoanCalculator[[#This Row],[Interest]])</f>
        <v>-1600</v>
      </c>
      <c r="F104" s="59">
        <f>SUM(LoanCalculator[[#This Row],[Opening balance]:[Repayment]])</f>
        <v>121140.40999999984</v>
      </c>
    </row>
    <row r="105" spans="2:6" x14ac:dyDescent="0.2">
      <c r="B105" s="53">
        <f>ROW()-ROW(LoanCalculator[[#Headers],[Period]])</f>
        <v>94</v>
      </c>
      <c r="C105" s="59">
        <f t="shared" si="1"/>
        <v>121140.40999999984</v>
      </c>
      <c r="D105" s="59">
        <f>ROUND(LoanCalculator[[#This Row],[Opening balance]]*$D$7/12,2)</f>
        <v>556.24</v>
      </c>
      <c r="E105" s="59">
        <f>MAX(-$D$6,-LoanCalculator[[#This Row],[Opening balance]]-LoanCalculator[[#This Row],[Interest]])</f>
        <v>-1600</v>
      </c>
      <c r="F105" s="59">
        <f>SUM(LoanCalculator[[#This Row],[Opening balance]:[Repayment]])</f>
        <v>120096.64999999985</v>
      </c>
    </row>
    <row r="106" spans="2:6" x14ac:dyDescent="0.2">
      <c r="B106" s="53">
        <f>ROW()-ROW(LoanCalculator[[#Headers],[Period]])</f>
        <v>95</v>
      </c>
      <c r="C106" s="59">
        <f t="shared" si="1"/>
        <v>120096.64999999985</v>
      </c>
      <c r="D106" s="59">
        <f>ROUND(LoanCalculator[[#This Row],[Opening balance]]*$D$7/12,2)</f>
        <v>551.44000000000005</v>
      </c>
      <c r="E106" s="59">
        <f>MAX(-$D$6,-LoanCalculator[[#This Row],[Opening balance]]-LoanCalculator[[#This Row],[Interest]])</f>
        <v>-1600</v>
      </c>
      <c r="F106" s="59">
        <f>SUM(LoanCalculator[[#This Row],[Opening balance]:[Repayment]])</f>
        <v>119048.08999999985</v>
      </c>
    </row>
    <row r="107" spans="2:6" x14ac:dyDescent="0.2">
      <c r="B107" s="53">
        <f>ROW()-ROW(LoanCalculator[[#Headers],[Period]])</f>
        <v>96</v>
      </c>
      <c r="C107" s="59">
        <f t="shared" si="1"/>
        <v>119048.08999999985</v>
      </c>
      <c r="D107" s="59">
        <f>ROUND(LoanCalculator[[#This Row],[Opening balance]]*$D$7/12,2)</f>
        <v>546.63</v>
      </c>
      <c r="E107" s="59">
        <f>MAX(-$D$6,-LoanCalculator[[#This Row],[Opening balance]]-LoanCalculator[[#This Row],[Interest]])</f>
        <v>-1600</v>
      </c>
      <c r="F107" s="59">
        <f>SUM(LoanCalculator[[#This Row],[Opening balance]:[Repayment]])</f>
        <v>117994.71999999986</v>
      </c>
    </row>
    <row r="108" spans="2:6" x14ac:dyDescent="0.2">
      <c r="B108" s="53">
        <f>ROW()-ROW(LoanCalculator[[#Headers],[Period]])</f>
        <v>97</v>
      </c>
      <c r="C108" s="59">
        <f t="shared" si="1"/>
        <v>117994.71999999986</v>
      </c>
      <c r="D108" s="59">
        <f>ROUND(LoanCalculator[[#This Row],[Opening balance]]*$D$7/12,2)</f>
        <v>541.79</v>
      </c>
      <c r="E108" s="59">
        <f>MAX(-$D$6,-LoanCalculator[[#This Row],[Opening balance]]-LoanCalculator[[#This Row],[Interest]])</f>
        <v>-1600</v>
      </c>
      <c r="F108" s="59">
        <f>SUM(LoanCalculator[[#This Row],[Opening balance]:[Repayment]])</f>
        <v>116936.50999999985</v>
      </c>
    </row>
    <row r="109" spans="2:6" x14ac:dyDescent="0.2">
      <c r="B109" s="53">
        <f>ROW()-ROW(LoanCalculator[[#Headers],[Period]])</f>
        <v>98</v>
      </c>
      <c r="C109" s="59">
        <f t="shared" si="1"/>
        <v>116936.50999999985</v>
      </c>
      <c r="D109" s="59">
        <f>ROUND(LoanCalculator[[#This Row],[Opening balance]]*$D$7/12,2)</f>
        <v>536.92999999999995</v>
      </c>
      <c r="E109" s="59">
        <f>MAX(-$D$6,-LoanCalculator[[#This Row],[Opening balance]]-LoanCalculator[[#This Row],[Interest]])</f>
        <v>-1600</v>
      </c>
      <c r="F109" s="59">
        <f>SUM(LoanCalculator[[#This Row],[Opening balance]:[Repayment]])</f>
        <v>115873.43999999984</v>
      </c>
    </row>
    <row r="110" spans="2:6" x14ac:dyDescent="0.2">
      <c r="B110" s="53">
        <f>ROW()-ROW(LoanCalculator[[#Headers],[Period]])</f>
        <v>99</v>
      </c>
      <c r="C110" s="59">
        <f t="shared" si="1"/>
        <v>115873.43999999984</v>
      </c>
      <c r="D110" s="59">
        <f>ROUND(LoanCalculator[[#This Row],[Opening balance]]*$D$7/12,2)</f>
        <v>532.04999999999995</v>
      </c>
      <c r="E110" s="59">
        <f>MAX(-$D$6,-LoanCalculator[[#This Row],[Opening balance]]-LoanCalculator[[#This Row],[Interest]])</f>
        <v>-1600</v>
      </c>
      <c r="F110" s="59">
        <f>SUM(LoanCalculator[[#This Row],[Opening balance]:[Repayment]])</f>
        <v>114805.48999999985</v>
      </c>
    </row>
    <row r="111" spans="2:6" x14ac:dyDescent="0.2">
      <c r="B111" s="53">
        <f>ROW()-ROW(LoanCalculator[[#Headers],[Period]])</f>
        <v>100</v>
      </c>
      <c r="C111" s="59">
        <f t="shared" si="1"/>
        <v>114805.48999999985</v>
      </c>
      <c r="D111" s="59">
        <f>ROUND(LoanCalculator[[#This Row],[Opening balance]]*$D$7/12,2)</f>
        <v>527.15</v>
      </c>
      <c r="E111" s="59">
        <f>MAX(-$D$6,-LoanCalculator[[#This Row],[Opening balance]]-LoanCalculator[[#This Row],[Interest]])</f>
        <v>-1600</v>
      </c>
      <c r="F111" s="59">
        <f>SUM(LoanCalculator[[#This Row],[Opening balance]:[Repayment]])</f>
        <v>113732.63999999984</v>
      </c>
    </row>
    <row r="112" spans="2:6" x14ac:dyDescent="0.2">
      <c r="B112" s="53">
        <f>ROW()-ROW(LoanCalculator[[#Headers],[Period]])</f>
        <v>101</v>
      </c>
      <c r="C112" s="59">
        <f t="shared" si="1"/>
        <v>113732.63999999984</v>
      </c>
      <c r="D112" s="59">
        <f>ROUND(LoanCalculator[[#This Row],[Opening balance]]*$D$7/12,2)</f>
        <v>522.22</v>
      </c>
      <c r="E112" s="59">
        <f>MAX(-$D$6,-LoanCalculator[[#This Row],[Opening balance]]-LoanCalculator[[#This Row],[Interest]])</f>
        <v>-1600</v>
      </c>
      <c r="F112" s="59">
        <f>SUM(LoanCalculator[[#This Row],[Opening balance]:[Repayment]])</f>
        <v>112654.85999999984</v>
      </c>
    </row>
    <row r="113" spans="2:6" x14ac:dyDescent="0.2">
      <c r="B113" s="53">
        <f>ROW()-ROW(LoanCalculator[[#Headers],[Period]])</f>
        <v>102</v>
      </c>
      <c r="C113" s="59">
        <f t="shared" si="1"/>
        <v>112654.85999999984</v>
      </c>
      <c r="D113" s="59">
        <f>ROUND(LoanCalculator[[#This Row],[Opening balance]]*$D$7/12,2)</f>
        <v>517.27</v>
      </c>
      <c r="E113" s="59">
        <f>MAX(-$D$6,-LoanCalculator[[#This Row],[Opening balance]]-LoanCalculator[[#This Row],[Interest]])</f>
        <v>-1600</v>
      </c>
      <c r="F113" s="59">
        <f>SUM(LoanCalculator[[#This Row],[Opening balance]:[Repayment]])</f>
        <v>111572.12999999984</v>
      </c>
    </row>
    <row r="114" spans="2:6" x14ac:dyDescent="0.2">
      <c r="B114" s="53">
        <f>ROW()-ROW(LoanCalculator[[#Headers],[Period]])</f>
        <v>103</v>
      </c>
      <c r="C114" s="59">
        <f t="shared" si="1"/>
        <v>111572.12999999984</v>
      </c>
      <c r="D114" s="59">
        <f>ROUND(LoanCalculator[[#This Row],[Opening balance]]*$D$7/12,2)</f>
        <v>512.29999999999995</v>
      </c>
      <c r="E114" s="59">
        <f>MAX(-$D$6,-LoanCalculator[[#This Row],[Opening balance]]-LoanCalculator[[#This Row],[Interest]])</f>
        <v>-1600</v>
      </c>
      <c r="F114" s="59">
        <f>SUM(LoanCalculator[[#This Row],[Opening balance]:[Repayment]])</f>
        <v>110484.42999999985</v>
      </c>
    </row>
    <row r="115" spans="2:6" x14ac:dyDescent="0.2">
      <c r="B115" s="53">
        <f>ROW()-ROW(LoanCalculator[[#Headers],[Period]])</f>
        <v>104</v>
      </c>
      <c r="C115" s="59">
        <f t="shared" si="1"/>
        <v>110484.42999999985</v>
      </c>
      <c r="D115" s="59">
        <f>ROUND(LoanCalculator[[#This Row],[Opening balance]]*$D$7/12,2)</f>
        <v>507.31</v>
      </c>
      <c r="E115" s="59">
        <f>MAX(-$D$6,-LoanCalculator[[#This Row],[Opening balance]]-LoanCalculator[[#This Row],[Interest]])</f>
        <v>-1600</v>
      </c>
      <c r="F115" s="59">
        <f>SUM(LoanCalculator[[#This Row],[Opening balance]:[Repayment]])</f>
        <v>109391.73999999985</v>
      </c>
    </row>
    <row r="116" spans="2:6" x14ac:dyDescent="0.2">
      <c r="B116" s="53">
        <f>ROW()-ROW(LoanCalculator[[#Headers],[Period]])</f>
        <v>105</v>
      </c>
      <c r="C116" s="59">
        <f t="shared" si="1"/>
        <v>109391.73999999985</v>
      </c>
      <c r="D116" s="59">
        <f>ROUND(LoanCalculator[[#This Row],[Opening balance]]*$D$7/12,2)</f>
        <v>502.29</v>
      </c>
      <c r="E116" s="59">
        <f>MAX(-$D$6,-LoanCalculator[[#This Row],[Opening balance]]-LoanCalculator[[#This Row],[Interest]])</f>
        <v>-1600</v>
      </c>
      <c r="F116" s="59">
        <f>SUM(LoanCalculator[[#This Row],[Opening balance]:[Repayment]])</f>
        <v>108294.02999999984</v>
      </c>
    </row>
    <row r="117" spans="2:6" x14ac:dyDescent="0.2">
      <c r="B117" s="53">
        <f>ROW()-ROW(LoanCalculator[[#Headers],[Period]])</f>
        <v>106</v>
      </c>
      <c r="C117" s="59">
        <f t="shared" si="1"/>
        <v>108294.02999999984</v>
      </c>
      <c r="D117" s="59">
        <f>ROUND(LoanCalculator[[#This Row],[Opening balance]]*$D$7/12,2)</f>
        <v>497.25</v>
      </c>
      <c r="E117" s="59">
        <f>MAX(-$D$6,-LoanCalculator[[#This Row],[Opening balance]]-LoanCalculator[[#This Row],[Interest]])</f>
        <v>-1600</v>
      </c>
      <c r="F117" s="59">
        <f>SUM(LoanCalculator[[#This Row],[Opening balance]:[Repayment]])</f>
        <v>107191.27999999984</v>
      </c>
    </row>
    <row r="118" spans="2:6" x14ac:dyDescent="0.2">
      <c r="B118" s="53">
        <f>ROW()-ROW(LoanCalculator[[#Headers],[Period]])</f>
        <v>107</v>
      </c>
      <c r="C118" s="59">
        <f t="shared" si="1"/>
        <v>107191.27999999984</v>
      </c>
      <c r="D118" s="59">
        <f>ROUND(LoanCalculator[[#This Row],[Opening balance]]*$D$7/12,2)</f>
        <v>492.19</v>
      </c>
      <c r="E118" s="59">
        <f>MAX(-$D$6,-LoanCalculator[[#This Row],[Opening balance]]-LoanCalculator[[#This Row],[Interest]])</f>
        <v>-1600</v>
      </c>
      <c r="F118" s="59">
        <f>SUM(LoanCalculator[[#This Row],[Opening balance]:[Repayment]])</f>
        <v>106083.46999999984</v>
      </c>
    </row>
    <row r="119" spans="2:6" x14ac:dyDescent="0.2">
      <c r="B119" s="53">
        <f>ROW()-ROW(LoanCalculator[[#Headers],[Period]])</f>
        <v>108</v>
      </c>
      <c r="C119" s="59">
        <f t="shared" si="1"/>
        <v>106083.46999999984</v>
      </c>
      <c r="D119" s="59">
        <f>ROUND(LoanCalculator[[#This Row],[Opening balance]]*$D$7/12,2)</f>
        <v>487.1</v>
      </c>
      <c r="E119" s="59">
        <f>MAX(-$D$6,-LoanCalculator[[#This Row],[Opening balance]]-LoanCalculator[[#This Row],[Interest]])</f>
        <v>-1600</v>
      </c>
      <c r="F119" s="59">
        <f>SUM(LoanCalculator[[#This Row],[Opening balance]:[Repayment]])</f>
        <v>104970.56999999985</v>
      </c>
    </row>
    <row r="120" spans="2:6" x14ac:dyDescent="0.2">
      <c r="B120" s="53">
        <f>ROW()-ROW(LoanCalculator[[#Headers],[Period]])</f>
        <v>109</v>
      </c>
      <c r="C120" s="59">
        <f t="shared" si="1"/>
        <v>104970.56999999985</v>
      </c>
      <c r="D120" s="59">
        <f>ROUND(LoanCalculator[[#This Row],[Opening balance]]*$D$7/12,2)</f>
        <v>481.99</v>
      </c>
      <c r="E120" s="59">
        <f>MAX(-$D$6,-LoanCalculator[[#This Row],[Opening balance]]-LoanCalculator[[#This Row],[Interest]])</f>
        <v>-1600</v>
      </c>
      <c r="F120" s="59">
        <f>SUM(LoanCalculator[[#This Row],[Opening balance]:[Repayment]])</f>
        <v>103852.55999999985</v>
      </c>
    </row>
    <row r="121" spans="2:6" x14ac:dyDescent="0.2">
      <c r="B121" s="53">
        <f>ROW()-ROW(LoanCalculator[[#Headers],[Period]])</f>
        <v>110</v>
      </c>
      <c r="C121" s="59">
        <f t="shared" si="1"/>
        <v>103852.55999999985</v>
      </c>
      <c r="D121" s="59">
        <f>ROUND(LoanCalculator[[#This Row],[Opening balance]]*$D$7/12,2)</f>
        <v>476.86</v>
      </c>
      <c r="E121" s="59">
        <f>MAX(-$D$6,-LoanCalculator[[#This Row],[Opening balance]]-LoanCalculator[[#This Row],[Interest]])</f>
        <v>-1600</v>
      </c>
      <c r="F121" s="59">
        <f>SUM(LoanCalculator[[#This Row],[Opening balance]:[Repayment]])</f>
        <v>102729.41999999985</v>
      </c>
    </row>
    <row r="122" spans="2:6" x14ac:dyDescent="0.2">
      <c r="B122" s="53">
        <f>ROW()-ROW(LoanCalculator[[#Headers],[Period]])</f>
        <v>111</v>
      </c>
      <c r="C122" s="59">
        <f t="shared" si="1"/>
        <v>102729.41999999985</v>
      </c>
      <c r="D122" s="59">
        <f>ROUND(LoanCalculator[[#This Row],[Opening balance]]*$D$7/12,2)</f>
        <v>471.7</v>
      </c>
      <c r="E122" s="59">
        <f>MAX(-$D$6,-LoanCalculator[[#This Row],[Opening balance]]-LoanCalculator[[#This Row],[Interest]])</f>
        <v>-1600</v>
      </c>
      <c r="F122" s="59">
        <f>SUM(LoanCalculator[[#This Row],[Opening balance]:[Repayment]])</f>
        <v>101601.11999999985</v>
      </c>
    </row>
    <row r="123" spans="2:6" x14ac:dyDescent="0.2">
      <c r="B123" s="53">
        <f>ROW()-ROW(LoanCalculator[[#Headers],[Period]])</f>
        <v>112</v>
      </c>
      <c r="C123" s="59">
        <f t="shared" si="1"/>
        <v>101601.11999999985</v>
      </c>
      <c r="D123" s="59">
        <f>ROUND(LoanCalculator[[#This Row],[Opening balance]]*$D$7/12,2)</f>
        <v>466.52</v>
      </c>
      <c r="E123" s="59">
        <f>MAX(-$D$6,-LoanCalculator[[#This Row],[Opening balance]]-LoanCalculator[[#This Row],[Interest]])</f>
        <v>-1600</v>
      </c>
      <c r="F123" s="59">
        <f>SUM(LoanCalculator[[#This Row],[Opening balance]:[Repayment]])</f>
        <v>100467.63999999985</v>
      </c>
    </row>
    <row r="124" spans="2:6" x14ac:dyDescent="0.2">
      <c r="B124" s="53">
        <f>ROW()-ROW(LoanCalculator[[#Headers],[Period]])</f>
        <v>113</v>
      </c>
      <c r="C124" s="59">
        <f t="shared" si="1"/>
        <v>100467.63999999985</v>
      </c>
      <c r="D124" s="59">
        <f>ROUND(LoanCalculator[[#This Row],[Opening balance]]*$D$7/12,2)</f>
        <v>461.31</v>
      </c>
      <c r="E124" s="59">
        <f>MAX(-$D$6,-LoanCalculator[[#This Row],[Opening balance]]-LoanCalculator[[#This Row],[Interest]])</f>
        <v>-1600</v>
      </c>
      <c r="F124" s="59">
        <f>SUM(LoanCalculator[[#This Row],[Opening balance]:[Repayment]])</f>
        <v>99328.949999999852</v>
      </c>
    </row>
    <row r="125" spans="2:6" x14ac:dyDescent="0.2">
      <c r="B125" s="53">
        <f>ROW()-ROW(LoanCalculator[[#Headers],[Period]])</f>
        <v>114</v>
      </c>
      <c r="C125" s="59">
        <f t="shared" si="1"/>
        <v>99328.949999999852</v>
      </c>
      <c r="D125" s="59">
        <f>ROUND(LoanCalculator[[#This Row],[Opening balance]]*$D$7/12,2)</f>
        <v>456.09</v>
      </c>
      <c r="E125" s="59">
        <f>MAX(-$D$6,-LoanCalculator[[#This Row],[Opening balance]]-LoanCalculator[[#This Row],[Interest]])</f>
        <v>-1600</v>
      </c>
      <c r="F125" s="59">
        <f>SUM(LoanCalculator[[#This Row],[Opening balance]:[Repayment]])</f>
        <v>98185.039999999848</v>
      </c>
    </row>
    <row r="126" spans="2:6" x14ac:dyDescent="0.2">
      <c r="B126" s="53">
        <f>ROW()-ROW(LoanCalculator[[#Headers],[Period]])</f>
        <v>115</v>
      </c>
      <c r="C126" s="59">
        <f t="shared" si="1"/>
        <v>98185.039999999848</v>
      </c>
      <c r="D126" s="59">
        <f>ROUND(LoanCalculator[[#This Row],[Opening balance]]*$D$7/12,2)</f>
        <v>450.83</v>
      </c>
      <c r="E126" s="59">
        <f>MAX(-$D$6,-LoanCalculator[[#This Row],[Opening balance]]-LoanCalculator[[#This Row],[Interest]])</f>
        <v>-1600</v>
      </c>
      <c r="F126" s="59">
        <f>SUM(LoanCalculator[[#This Row],[Opening balance]:[Repayment]])</f>
        <v>97035.86999999985</v>
      </c>
    </row>
    <row r="127" spans="2:6" x14ac:dyDescent="0.2">
      <c r="B127" s="53">
        <f>ROW()-ROW(LoanCalculator[[#Headers],[Period]])</f>
        <v>116</v>
      </c>
      <c r="C127" s="59">
        <f t="shared" si="1"/>
        <v>97035.86999999985</v>
      </c>
      <c r="D127" s="59">
        <f>ROUND(LoanCalculator[[#This Row],[Opening balance]]*$D$7/12,2)</f>
        <v>445.56</v>
      </c>
      <c r="E127" s="59">
        <f>MAX(-$D$6,-LoanCalculator[[#This Row],[Opening balance]]-LoanCalculator[[#This Row],[Interest]])</f>
        <v>-1600</v>
      </c>
      <c r="F127" s="59">
        <f>SUM(LoanCalculator[[#This Row],[Opening balance]:[Repayment]])</f>
        <v>95881.429999999847</v>
      </c>
    </row>
    <row r="128" spans="2:6" x14ac:dyDescent="0.2">
      <c r="B128" s="53">
        <f>ROW()-ROW(LoanCalculator[[#Headers],[Period]])</f>
        <v>117</v>
      </c>
      <c r="C128" s="59">
        <f t="shared" si="1"/>
        <v>95881.429999999847</v>
      </c>
      <c r="D128" s="59">
        <f>ROUND(LoanCalculator[[#This Row],[Opening balance]]*$D$7/12,2)</f>
        <v>440.26</v>
      </c>
      <c r="E128" s="59">
        <f>MAX(-$D$6,-LoanCalculator[[#This Row],[Opening balance]]-LoanCalculator[[#This Row],[Interest]])</f>
        <v>-1600</v>
      </c>
      <c r="F128" s="59">
        <f>SUM(LoanCalculator[[#This Row],[Opening balance]:[Repayment]])</f>
        <v>94721.689999999842</v>
      </c>
    </row>
    <row r="129" spans="2:6" x14ac:dyDescent="0.2">
      <c r="B129" s="53">
        <f>ROW()-ROW(LoanCalculator[[#Headers],[Period]])</f>
        <v>118</v>
      </c>
      <c r="C129" s="59">
        <f t="shared" si="1"/>
        <v>94721.689999999842</v>
      </c>
      <c r="D129" s="59">
        <f>ROUND(LoanCalculator[[#This Row],[Opening balance]]*$D$7/12,2)</f>
        <v>434.93</v>
      </c>
      <c r="E129" s="59">
        <f>MAX(-$D$6,-LoanCalculator[[#This Row],[Opening balance]]-LoanCalculator[[#This Row],[Interest]])</f>
        <v>-1600</v>
      </c>
      <c r="F129" s="59">
        <f>SUM(LoanCalculator[[#This Row],[Opening balance]:[Repayment]])</f>
        <v>93556.619999999835</v>
      </c>
    </row>
    <row r="130" spans="2:6" x14ac:dyDescent="0.2">
      <c r="B130" s="53">
        <f>ROW()-ROW(LoanCalculator[[#Headers],[Period]])</f>
        <v>119</v>
      </c>
      <c r="C130" s="59">
        <f t="shared" si="1"/>
        <v>93556.619999999835</v>
      </c>
      <c r="D130" s="59">
        <f>ROUND(LoanCalculator[[#This Row],[Opening balance]]*$D$7/12,2)</f>
        <v>429.58</v>
      </c>
      <c r="E130" s="59">
        <f>MAX(-$D$6,-LoanCalculator[[#This Row],[Opening balance]]-LoanCalculator[[#This Row],[Interest]])</f>
        <v>-1600</v>
      </c>
      <c r="F130" s="59">
        <f>SUM(LoanCalculator[[#This Row],[Opening balance]:[Repayment]])</f>
        <v>92386.199999999837</v>
      </c>
    </row>
    <row r="131" spans="2:6" x14ac:dyDescent="0.2">
      <c r="B131" s="53">
        <f>ROW()-ROW(LoanCalculator[[#Headers],[Period]])</f>
        <v>120</v>
      </c>
      <c r="C131" s="59">
        <f t="shared" si="1"/>
        <v>92386.199999999837</v>
      </c>
      <c r="D131" s="59">
        <f>ROUND(LoanCalculator[[#This Row],[Opening balance]]*$D$7/12,2)</f>
        <v>424.21</v>
      </c>
      <c r="E131" s="59">
        <f>MAX(-$D$6,-LoanCalculator[[#This Row],[Opening balance]]-LoanCalculator[[#This Row],[Interest]])</f>
        <v>-1600</v>
      </c>
      <c r="F131" s="59">
        <f>SUM(LoanCalculator[[#This Row],[Opening balance]:[Repayment]])</f>
        <v>91210.409999999843</v>
      </c>
    </row>
    <row r="132" spans="2:6" x14ac:dyDescent="0.2">
      <c r="B132" s="53">
        <f>ROW()-ROW(LoanCalculator[[#Headers],[Period]])</f>
        <v>121</v>
      </c>
      <c r="C132" s="59">
        <f t="shared" si="1"/>
        <v>91210.409999999843</v>
      </c>
      <c r="D132" s="59">
        <f>ROUND(LoanCalculator[[#This Row],[Opening balance]]*$D$7/12,2)</f>
        <v>418.81</v>
      </c>
      <c r="E132" s="59">
        <f>MAX(-$D$6,-LoanCalculator[[#This Row],[Opening balance]]-LoanCalculator[[#This Row],[Interest]])</f>
        <v>-1600</v>
      </c>
      <c r="F132" s="59">
        <f>SUM(LoanCalculator[[#This Row],[Opening balance]:[Repayment]])</f>
        <v>90029.219999999841</v>
      </c>
    </row>
    <row r="133" spans="2:6" x14ac:dyDescent="0.2">
      <c r="B133" s="53">
        <f>ROW()-ROW(LoanCalculator[[#Headers],[Period]])</f>
        <v>122</v>
      </c>
      <c r="C133" s="59">
        <f t="shared" si="1"/>
        <v>90029.219999999841</v>
      </c>
      <c r="D133" s="59">
        <f>ROUND(LoanCalculator[[#This Row],[Opening balance]]*$D$7/12,2)</f>
        <v>413.38</v>
      </c>
      <c r="E133" s="59">
        <f>MAX(-$D$6,-LoanCalculator[[#This Row],[Opening balance]]-LoanCalculator[[#This Row],[Interest]])</f>
        <v>-1600</v>
      </c>
      <c r="F133" s="59">
        <f>SUM(LoanCalculator[[#This Row],[Opening balance]:[Repayment]])</f>
        <v>88842.599999999846</v>
      </c>
    </row>
    <row r="134" spans="2:6" x14ac:dyDescent="0.2">
      <c r="B134" s="53">
        <f>ROW()-ROW(LoanCalculator[[#Headers],[Period]])</f>
        <v>123</v>
      </c>
      <c r="C134" s="59">
        <f t="shared" si="1"/>
        <v>88842.599999999846</v>
      </c>
      <c r="D134" s="59">
        <f>ROUND(LoanCalculator[[#This Row],[Opening balance]]*$D$7/12,2)</f>
        <v>407.94</v>
      </c>
      <c r="E134" s="59">
        <f>MAX(-$D$6,-LoanCalculator[[#This Row],[Opening balance]]-LoanCalculator[[#This Row],[Interest]])</f>
        <v>-1600</v>
      </c>
      <c r="F134" s="59">
        <f>SUM(LoanCalculator[[#This Row],[Opening balance]:[Repayment]])</f>
        <v>87650.539999999848</v>
      </c>
    </row>
    <row r="135" spans="2:6" x14ac:dyDescent="0.2">
      <c r="B135" s="53">
        <f>ROW()-ROW(LoanCalculator[[#Headers],[Period]])</f>
        <v>124</v>
      </c>
      <c r="C135" s="59">
        <f t="shared" si="1"/>
        <v>87650.539999999848</v>
      </c>
      <c r="D135" s="59">
        <f>ROUND(LoanCalculator[[#This Row],[Opening balance]]*$D$7/12,2)</f>
        <v>402.46</v>
      </c>
      <c r="E135" s="59">
        <f>MAX(-$D$6,-LoanCalculator[[#This Row],[Opening balance]]-LoanCalculator[[#This Row],[Interest]])</f>
        <v>-1600</v>
      </c>
      <c r="F135" s="59">
        <f>SUM(LoanCalculator[[#This Row],[Opening balance]:[Repayment]])</f>
        <v>86452.999999999854</v>
      </c>
    </row>
    <row r="136" spans="2:6" x14ac:dyDescent="0.2">
      <c r="B136" s="53">
        <f>ROW()-ROW(LoanCalculator[[#Headers],[Period]])</f>
        <v>125</v>
      </c>
      <c r="C136" s="59">
        <f t="shared" si="1"/>
        <v>86452.999999999854</v>
      </c>
      <c r="D136" s="59">
        <f>ROUND(LoanCalculator[[#This Row],[Opening balance]]*$D$7/12,2)</f>
        <v>396.96</v>
      </c>
      <c r="E136" s="59">
        <f>MAX(-$D$6,-LoanCalculator[[#This Row],[Opening balance]]-LoanCalculator[[#This Row],[Interest]])</f>
        <v>-1600</v>
      </c>
      <c r="F136" s="59">
        <f>SUM(LoanCalculator[[#This Row],[Opening balance]:[Repayment]])</f>
        <v>85249.959999999861</v>
      </c>
    </row>
    <row r="137" spans="2:6" x14ac:dyDescent="0.2">
      <c r="B137" s="53">
        <f>ROW()-ROW(LoanCalculator[[#Headers],[Period]])</f>
        <v>126</v>
      </c>
      <c r="C137" s="59">
        <f t="shared" si="1"/>
        <v>85249.959999999861</v>
      </c>
      <c r="D137" s="59">
        <f>ROUND(LoanCalculator[[#This Row],[Opening balance]]*$D$7/12,2)</f>
        <v>391.44</v>
      </c>
      <c r="E137" s="59">
        <f>MAX(-$D$6,-LoanCalculator[[#This Row],[Opening balance]]-LoanCalculator[[#This Row],[Interest]])</f>
        <v>-1600</v>
      </c>
      <c r="F137" s="59">
        <f>SUM(LoanCalculator[[#This Row],[Opening balance]:[Repayment]])</f>
        <v>84041.399999999863</v>
      </c>
    </row>
    <row r="138" spans="2:6" x14ac:dyDescent="0.2">
      <c r="B138" s="53">
        <f>ROW()-ROW(LoanCalculator[[#Headers],[Period]])</f>
        <v>127</v>
      </c>
      <c r="C138" s="59">
        <f t="shared" si="1"/>
        <v>84041.399999999863</v>
      </c>
      <c r="D138" s="59">
        <f>ROUND(LoanCalculator[[#This Row],[Opening balance]]*$D$7/12,2)</f>
        <v>385.89</v>
      </c>
      <c r="E138" s="59">
        <f>MAX(-$D$6,-LoanCalculator[[#This Row],[Opening balance]]-LoanCalculator[[#This Row],[Interest]])</f>
        <v>-1600</v>
      </c>
      <c r="F138" s="59">
        <f>SUM(LoanCalculator[[#This Row],[Opening balance]:[Repayment]])</f>
        <v>82827.289999999863</v>
      </c>
    </row>
    <row r="139" spans="2:6" x14ac:dyDescent="0.2">
      <c r="B139" s="53">
        <f>ROW()-ROW(LoanCalculator[[#Headers],[Period]])</f>
        <v>128</v>
      </c>
      <c r="C139" s="59">
        <f t="shared" si="1"/>
        <v>82827.289999999863</v>
      </c>
      <c r="D139" s="59">
        <f>ROUND(LoanCalculator[[#This Row],[Opening balance]]*$D$7/12,2)</f>
        <v>380.32</v>
      </c>
      <c r="E139" s="59">
        <f>MAX(-$D$6,-LoanCalculator[[#This Row],[Opening balance]]-LoanCalculator[[#This Row],[Interest]])</f>
        <v>-1600</v>
      </c>
      <c r="F139" s="59">
        <f>SUM(LoanCalculator[[#This Row],[Opening balance]:[Repayment]])</f>
        <v>81607.60999999987</v>
      </c>
    </row>
    <row r="140" spans="2:6" x14ac:dyDescent="0.2">
      <c r="B140" s="53">
        <f>ROW()-ROW(LoanCalculator[[#Headers],[Period]])</f>
        <v>129</v>
      </c>
      <c r="C140" s="59">
        <f t="shared" si="1"/>
        <v>81607.60999999987</v>
      </c>
      <c r="D140" s="59">
        <f>ROUND(LoanCalculator[[#This Row],[Opening balance]]*$D$7/12,2)</f>
        <v>374.71</v>
      </c>
      <c r="E140" s="59">
        <f>MAX(-$D$6,-LoanCalculator[[#This Row],[Opening balance]]-LoanCalculator[[#This Row],[Interest]])</f>
        <v>-1600</v>
      </c>
      <c r="F140" s="59">
        <f>SUM(LoanCalculator[[#This Row],[Opening balance]:[Repayment]])</f>
        <v>80382.319999999876</v>
      </c>
    </row>
    <row r="141" spans="2:6" x14ac:dyDescent="0.2">
      <c r="B141" s="53">
        <f>ROW()-ROW(LoanCalculator[[#Headers],[Period]])</f>
        <v>130</v>
      </c>
      <c r="C141" s="59">
        <f t="shared" ref="C141:C198" si="2">F140</f>
        <v>80382.319999999876</v>
      </c>
      <c r="D141" s="59">
        <f>ROUND(LoanCalculator[[#This Row],[Opening balance]]*$D$7/12,2)</f>
        <v>369.09</v>
      </c>
      <c r="E141" s="59">
        <f>MAX(-$D$6,-LoanCalculator[[#This Row],[Opening balance]]-LoanCalculator[[#This Row],[Interest]])</f>
        <v>-1600</v>
      </c>
      <c r="F141" s="59">
        <f>SUM(LoanCalculator[[#This Row],[Opening balance]:[Repayment]])</f>
        <v>79151.409999999873</v>
      </c>
    </row>
    <row r="142" spans="2:6" x14ac:dyDescent="0.2">
      <c r="B142" s="53">
        <f>ROW()-ROW(LoanCalculator[[#Headers],[Period]])</f>
        <v>131</v>
      </c>
      <c r="C142" s="59">
        <f t="shared" si="2"/>
        <v>79151.409999999873</v>
      </c>
      <c r="D142" s="59">
        <f>ROUND(LoanCalculator[[#This Row],[Opening balance]]*$D$7/12,2)</f>
        <v>363.44</v>
      </c>
      <c r="E142" s="59">
        <f>MAX(-$D$6,-LoanCalculator[[#This Row],[Opening balance]]-LoanCalculator[[#This Row],[Interest]])</f>
        <v>-1600</v>
      </c>
      <c r="F142" s="59">
        <f>SUM(LoanCalculator[[#This Row],[Opening balance]:[Repayment]])</f>
        <v>77914.849999999875</v>
      </c>
    </row>
    <row r="143" spans="2:6" x14ac:dyDescent="0.2">
      <c r="B143" s="53">
        <f>ROW()-ROW(LoanCalculator[[#Headers],[Period]])</f>
        <v>132</v>
      </c>
      <c r="C143" s="59">
        <f t="shared" si="2"/>
        <v>77914.849999999875</v>
      </c>
      <c r="D143" s="59">
        <f>ROUND(LoanCalculator[[#This Row],[Opening balance]]*$D$7/12,2)</f>
        <v>357.76</v>
      </c>
      <c r="E143" s="59">
        <f>MAX(-$D$6,-LoanCalculator[[#This Row],[Opening balance]]-LoanCalculator[[#This Row],[Interest]])</f>
        <v>-1600</v>
      </c>
      <c r="F143" s="59">
        <f>SUM(LoanCalculator[[#This Row],[Opening balance]:[Repayment]])</f>
        <v>76672.60999999987</v>
      </c>
    </row>
    <row r="144" spans="2:6" x14ac:dyDescent="0.2">
      <c r="B144" s="53">
        <f>ROW()-ROW(LoanCalculator[[#Headers],[Period]])</f>
        <v>133</v>
      </c>
      <c r="C144" s="59">
        <f t="shared" si="2"/>
        <v>76672.60999999987</v>
      </c>
      <c r="D144" s="59">
        <f>ROUND(LoanCalculator[[#This Row],[Opening balance]]*$D$7/12,2)</f>
        <v>352.06</v>
      </c>
      <c r="E144" s="59">
        <f>MAX(-$D$6,-LoanCalculator[[#This Row],[Opening balance]]-LoanCalculator[[#This Row],[Interest]])</f>
        <v>-1600</v>
      </c>
      <c r="F144" s="59">
        <f>SUM(LoanCalculator[[#This Row],[Opening balance]:[Repayment]])</f>
        <v>75424.669999999867</v>
      </c>
    </row>
    <row r="145" spans="2:6" x14ac:dyDescent="0.2">
      <c r="B145" s="53">
        <f>ROW()-ROW(LoanCalculator[[#Headers],[Period]])</f>
        <v>134</v>
      </c>
      <c r="C145" s="59">
        <f t="shared" si="2"/>
        <v>75424.669999999867</v>
      </c>
      <c r="D145" s="59">
        <f>ROUND(LoanCalculator[[#This Row],[Opening balance]]*$D$7/12,2)</f>
        <v>346.32</v>
      </c>
      <c r="E145" s="59">
        <f>MAX(-$D$6,-LoanCalculator[[#This Row],[Opening balance]]-LoanCalculator[[#This Row],[Interest]])</f>
        <v>-1600</v>
      </c>
      <c r="F145" s="59">
        <f>SUM(LoanCalculator[[#This Row],[Opening balance]:[Repayment]])</f>
        <v>74170.989999999874</v>
      </c>
    </row>
    <row r="146" spans="2:6" x14ac:dyDescent="0.2">
      <c r="B146" s="53">
        <f>ROW()-ROW(LoanCalculator[[#Headers],[Period]])</f>
        <v>135</v>
      </c>
      <c r="C146" s="59">
        <f t="shared" si="2"/>
        <v>74170.989999999874</v>
      </c>
      <c r="D146" s="59">
        <f>ROUND(LoanCalculator[[#This Row],[Opening balance]]*$D$7/12,2)</f>
        <v>340.57</v>
      </c>
      <c r="E146" s="59">
        <f>MAX(-$D$6,-LoanCalculator[[#This Row],[Opening balance]]-LoanCalculator[[#This Row],[Interest]])</f>
        <v>-1600</v>
      </c>
      <c r="F146" s="59">
        <f>SUM(LoanCalculator[[#This Row],[Opening balance]:[Repayment]])</f>
        <v>72911.559999999881</v>
      </c>
    </row>
    <row r="147" spans="2:6" x14ac:dyDescent="0.2">
      <c r="B147" s="53">
        <f>ROW()-ROW(LoanCalculator[[#Headers],[Period]])</f>
        <v>136</v>
      </c>
      <c r="C147" s="59">
        <f t="shared" si="2"/>
        <v>72911.559999999881</v>
      </c>
      <c r="D147" s="59">
        <f>ROUND(LoanCalculator[[#This Row],[Opening balance]]*$D$7/12,2)</f>
        <v>334.79</v>
      </c>
      <c r="E147" s="59">
        <f>MAX(-$D$6,-LoanCalculator[[#This Row],[Opening balance]]-LoanCalculator[[#This Row],[Interest]])</f>
        <v>-1600</v>
      </c>
      <c r="F147" s="59">
        <f>SUM(LoanCalculator[[#This Row],[Opening balance]:[Repayment]])</f>
        <v>71646.349999999875</v>
      </c>
    </row>
    <row r="148" spans="2:6" x14ac:dyDescent="0.2">
      <c r="B148" s="53">
        <f>ROW()-ROW(LoanCalculator[[#Headers],[Period]])</f>
        <v>137</v>
      </c>
      <c r="C148" s="59">
        <f t="shared" si="2"/>
        <v>71646.349999999875</v>
      </c>
      <c r="D148" s="59">
        <f>ROUND(LoanCalculator[[#This Row],[Opening balance]]*$D$7/12,2)</f>
        <v>328.98</v>
      </c>
      <c r="E148" s="59">
        <f>MAX(-$D$6,-LoanCalculator[[#This Row],[Opening balance]]-LoanCalculator[[#This Row],[Interest]])</f>
        <v>-1600</v>
      </c>
      <c r="F148" s="59">
        <f>SUM(LoanCalculator[[#This Row],[Opening balance]:[Repayment]])</f>
        <v>70375.329999999871</v>
      </c>
    </row>
    <row r="149" spans="2:6" x14ac:dyDescent="0.2">
      <c r="B149" s="53">
        <f>ROW()-ROW(LoanCalculator[[#Headers],[Period]])</f>
        <v>138</v>
      </c>
      <c r="C149" s="59">
        <f t="shared" si="2"/>
        <v>70375.329999999871</v>
      </c>
      <c r="D149" s="59">
        <f>ROUND(LoanCalculator[[#This Row],[Opening balance]]*$D$7/12,2)</f>
        <v>323.14</v>
      </c>
      <c r="E149" s="59">
        <f>MAX(-$D$6,-LoanCalculator[[#This Row],[Opening balance]]-LoanCalculator[[#This Row],[Interest]])</f>
        <v>-1600</v>
      </c>
      <c r="F149" s="59">
        <f>SUM(LoanCalculator[[#This Row],[Opening balance]:[Repayment]])</f>
        <v>69098.46999999987</v>
      </c>
    </row>
    <row r="150" spans="2:6" x14ac:dyDescent="0.2">
      <c r="B150" s="53">
        <f>ROW()-ROW(LoanCalculator[[#Headers],[Period]])</f>
        <v>139</v>
      </c>
      <c r="C150" s="59">
        <f t="shared" si="2"/>
        <v>69098.46999999987</v>
      </c>
      <c r="D150" s="59">
        <f>ROUND(LoanCalculator[[#This Row],[Opening balance]]*$D$7/12,2)</f>
        <v>317.27999999999997</v>
      </c>
      <c r="E150" s="59">
        <f>MAX(-$D$6,-LoanCalculator[[#This Row],[Opening balance]]-LoanCalculator[[#This Row],[Interest]])</f>
        <v>-1600</v>
      </c>
      <c r="F150" s="59">
        <f>SUM(LoanCalculator[[#This Row],[Opening balance]:[Repayment]])</f>
        <v>67815.749999999869</v>
      </c>
    </row>
    <row r="151" spans="2:6" x14ac:dyDescent="0.2">
      <c r="B151" s="53">
        <f>ROW()-ROW(LoanCalculator[[#Headers],[Period]])</f>
        <v>140</v>
      </c>
      <c r="C151" s="59">
        <f t="shared" si="2"/>
        <v>67815.749999999869</v>
      </c>
      <c r="D151" s="59">
        <f>ROUND(LoanCalculator[[#This Row],[Opening balance]]*$D$7/12,2)</f>
        <v>311.39</v>
      </c>
      <c r="E151" s="59">
        <f>MAX(-$D$6,-LoanCalculator[[#This Row],[Opening balance]]-LoanCalculator[[#This Row],[Interest]])</f>
        <v>-1600</v>
      </c>
      <c r="F151" s="59">
        <f>SUM(LoanCalculator[[#This Row],[Opening balance]:[Repayment]])</f>
        <v>66527.139999999868</v>
      </c>
    </row>
    <row r="152" spans="2:6" x14ac:dyDescent="0.2">
      <c r="B152" s="53">
        <f>ROW()-ROW(LoanCalculator[[#Headers],[Period]])</f>
        <v>141</v>
      </c>
      <c r="C152" s="59">
        <f t="shared" si="2"/>
        <v>66527.139999999868</v>
      </c>
      <c r="D152" s="59">
        <f>ROUND(LoanCalculator[[#This Row],[Opening balance]]*$D$7/12,2)</f>
        <v>305.47000000000003</v>
      </c>
      <c r="E152" s="59">
        <f>MAX(-$D$6,-LoanCalculator[[#This Row],[Opening balance]]-LoanCalculator[[#This Row],[Interest]])</f>
        <v>-1600</v>
      </c>
      <c r="F152" s="59">
        <f>SUM(LoanCalculator[[#This Row],[Opening balance]:[Repayment]])</f>
        <v>65232.60999999987</v>
      </c>
    </row>
    <row r="153" spans="2:6" x14ac:dyDescent="0.2">
      <c r="B153" s="53">
        <f>ROW()-ROW(LoanCalculator[[#Headers],[Period]])</f>
        <v>142</v>
      </c>
      <c r="C153" s="59">
        <f t="shared" si="2"/>
        <v>65232.60999999987</v>
      </c>
      <c r="D153" s="59">
        <f>ROUND(LoanCalculator[[#This Row],[Opening balance]]*$D$7/12,2)</f>
        <v>299.52999999999997</v>
      </c>
      <c r="E153" s="59">
        <f>MAX(-$D$6,-LoanCalculator[[#This Row],[Opening balance]]-LoanCalculator[[#This Row],[Interest]])</f>
        <v>-1600</v>
      </c>
      <c r="F153" s="59">
        <f>SUM(LoanCalculator[[#This Row],[Opening balance]:[Repayment]])</f>
        <v>63932.139999999868</v>
      </c>
    </row>
    <row r="154" spans="2:6" x14ac:dyDescent="0.2">
      <c r="B154" s="53">
        <f>ROW()-ROW(LoanCalculator[[#Headers],[Period]])</f>
        <v>143</v>
      </c>
      <c r="C154" s="59">
        <f t="shared" si="2"/>
        <v>63932.139999999868</v>
      </c>
      <c r="D154" s="59">
        <f>ROUND(LoanCalculator[[#This Row],[Opening balance]]*$D$7/12,2)</f>
        <v>293.56</v>
      </c>
      <c r="E154" s="59">
        <f>MAX(-$D$6,-LoanCalculator[[#This Row],[Opening balance]]-LoanCalculator[[#This Row],[Interest]])</f>
        <v>-1600</v>
      </c>
      <c r="F154" s="59">
        <f>SUM(LoanCalculator[[#This Row],[Opening balance]:[Repayment]])</f>
        <v>62625.699999999866</v>
      </c>
    </row>
    <row r="155" spans="2:6" x14ac:dyDescent="0.2">
      <c r="B155" s="53">
        <f>ROW()-ROW(LoanCalculator[[#Headers],[Period]])</f>
        <v>144</v>
      </c>
      <c r="C155" s="59">
        <f t="shared" si="2"/>
        <v>62625.699999999866</v>
      </c>
      <c r="D155" s="59">
        <f>ROUND(LoanCalculator[[#This Row],[Opening balance]]*$D$7/12,2)</f>
        <v>287.56</v>
      </c>
      <c r="E155" s="59">
        <f>MAX(-$D$6,-LoanCalculator[[#This Row],[Opening balance]]-LoanCalculator[[#This Row],[Interest]])</f>
        <v>-1600</v>
      </c>
      <c r="F155" s="59">
        <f>SUM(LoanCalculator[[#This Row],[Opening balance]:[Repayment]])</f>
        <v>61313.259999999864</v>
      </c>
    </row>
    <row r="156" spans="2:6" x14ac:dyDescent="0.2">
      <c r="B156" s="53">
        <f>ROW()-ROW(LoanCalculator[[#Headers],[Period]])</f>
        <v>145</v>
      </c>
      <c r="C156" s="59">
        <f t="shared" si="2"/>
        <v>61313.259999999864</v>
      </c>
      <c r="D156" s="59">
        <f>ROUND(LoanCalculator[[#This Row],[Opening balance]]*$D$7/12,2)</f>
        <v>281.52999999999997</v>
      </c>
      <c r="E156" s="59">
        <f>MAX(-$D$6,-LoanCalculator[[#This Row],[Opening balance]]-LoanCalculator[[#This Row],[Interest]])</f>
        <v>-1600</v>
      </c>
      <c r="F156" s="59">
        <f>SUM(LoanCalculator[[#This Row],[Opening balance]:[Repayment]])</f>
        <v>59994.789999999863</v>
      </c>
    </row>
    <row r="157" spans="2:6" x14ac:dyDescent="0.2">
      <c r="B157" s="53">
        <f>ROW()-ROW(LoanCalculator[[#Headers],[Period]])</f>
        <v>146</v>
      </c>
      <c r="C157" s="59">
        <f t="shared" si="2"/>
        <v>59994.789999999863</v>
      </c>
      <c r="D157" s="59">
        <f>ROUND(LoanCalculator[[#This Row],[Opening balance]]*$D$7/12,2)</f>
        <v>275.48</v>
      </c>
      <c r="E157" s="59">
        <f>MAX(-$D$6,-LoanCalculator[[#This Row],[Opening balance]]-LoanCalculator[[#This Row],[Interest]])</f>
        <v>-1600</v>
      </c>
      <c r="F157" s="59">
        <f>SUM(LoanCalculator[[#This Row],[Opening balance]:[Repayment]])</f>
        <v>58670.269999999866</v>
      </c>
    </row>
    <row r="158" spans="2:6" x14ac:dyDescent="0.2">
      <c r="B158" s="53">
        <f>ROW()-ROW(LoanCalculator[[#Headers],[Period]])</f>
        <v>147</v>
      </c>
      <c r="C158" s="59">
        <f t="shared" si="2"/>
        <v>58670.269999999866</v>
      </c>
      <c r="D158" s="59">
        <f>ROUND(LoanCalculator[[#This Row],[Opening balance]]*$D$7/12,2)</f>
        <v>269.39</v>
      </c>
      <c r="E158" s="59">
        <f>MAX(-$D$6,-LoanCalculator[[#This Row],[Opening balance]]-LoanCalculator[[#This Row],[Interest]])</f>
        <v>-1600</v>
      </c>
      <c r="F158" s="59">
        <f>SUM(LoanCalculator[[#This Row],[Opening balance]:[Repayment]])</f>
        <v>57339.659999999865</v>
      </c>
    </row>
    <row r="159" spans="2:6" x14ac:dyDescent="0.2">
      <c r="B159" s="53">
        <f>ROW()-ROW(LoanCalculator[[#Headers],[Period]])</f>
        <v>148</v>
      </c>
      <c r="C159" s="59">
        <f t="shared" si="2"/>
        <v>57339.659999999865</v>
      </c>
      <c r="D159" s="59">
        <f>ROUND(LoanCalculator[[#This Row],[Opening balance]]*$D$7/12,2)</f>
        <v>263.27999999999997</v>
      </c>
      <c r="E159" s="59">
        <f>MAX(-$D$6,-LoanCalculator[[#This Row],[Opening balance]]-LoanCalculator[[#This Row],[Interest]])</f>
        <v>-1600</v>
      </c>
      <c r="F159" s="59">
        <f>SUM(LoanCalculator[[#This Row],[Opening balance]:[Repayment]])</f>
        <v>56002.939999999864</v>
      </c>
    </row>
    <row r="160" spans="2:6" x14ac:dyDescent="0.2">
      <c r="B160" s="53">
        <f>ROW()-ROW(LoanCalculator[[#Headers],[Period]])</f>
        <v>149</v>
      </c>
      <c r="C160" s="59">
        <f t="shared" si="2"/>
        <v>56002.939999999864</v>
      </c>
      <c r="D160" s="59">
        <f>ROUND(LoanCalculator[[#This Row],[Opening balance]]*$D$7/12,2)</f>
        <v>257.14999999999998</v>
      </c>
      <c r="E160" s="59">
        <f>MAX(-$D$6,-LoanCalculator[[#This Row],[Opening balance]]-LoanCalculator[[#This Row],[Interest]])</f>
        <v>-1600</v>
      </c>
      <c r="F160" s="59">
        <f>SUM(LoanCalculator[[#This Row],[Opening balance]:[Repayment]])</f>
        <v>54660.089999999866</v>
      </c>
    </row>
    <row r="161" spans="2:6" x14ac:dyDescent="0.2">
      <c r="B161" s="53">
        <f>ROW()-ROW(LoanCalculator[[#Headers],[Period]])</f>
        <v>150</v>
      </c>
      <c r="C161" s="59">
        <f t="shared" si="2"/>
        <v>54660.089999999866</v>
      </c>
      <c r="D161" s="59">
        <f>ROUND(LoanCalculator[[#This Row],[Opening balance]]*$D$7/12,2)</f>
        <v>250.98</v>
      </c>
      <c r="E161" s="59">
        <f>MAX(-$D$6,-LoanCalculator[[#This Row],[Opening balance]]-LoanCalculator[[#This Row],[Interest]])</f>
        <v>-1600</v>
      </c>
      <c r="F161" s="59">
        <f>SUM(LoanCalculator[[#This Row],[Opening balance]:[Repayment]])</f>
        <v>53311.069999999869</v>
      </c>
    </row>
    <row r="162" spans="2:6" x14ac:dyDescent="0.2">
      <c r="B162" s="53">
        <f>ROW()-ROW(LoanCalculator[[#Headers],[Period]])</f>
        <v>151</v>
      </c>
      <c r="C162" s="59">
        <f t="shared" si="2"/>
        <v>53311.069999999869</v>
      </c>
      <c r="D162" s="59">
        <f>ROUND(LoanCalculator[[#This Row],[Opening balance]]*$D$7/12,2)</f>
        <v>244.79</v>
      </c>
      <c r="E162" s="59">
        <f>MAX(-$D$6,-LoanCalculator[[#This Row],[Opening balance]]-LoanCalculator[[#This Row],[Interest]])</f>
        <v>-1600</v>
      </c>
      <c r="F162" s="59">
        <f>SUM(LoanCalculator[[#This Row],[Opening balance]:[Repayment]])</f>
        <v>51955.85999999987</v>
      </c>
    </row>
    <row r="163" spans="2:6" x14ac:dyDescent="0.2">
      <c r="B163" s="53">
        <f>ROW()-ROW(LoanCalculator[[#Headers],[Period]])</f>
        <v>152</v>
      </c>
      <c r="C163" s="59">
        <f t="shared" si="2"/>
        <v>51955.85999999987</v>
      </c>
      <c r="D163" s="59">
        <f>ROUND(LoanCalculator[[#This Row],[Opening balance]]*$D$7/12,2)</f>
        <v>238.56</v>
      </c>
      <c r="E163" s="59">
        <f>MAX(-$D$6,-LoanCalculator[[#This Row],[Opening balance]]-LoanCalculator[[#This Row],[Interest]])</f>
        <v>-1600</v>
      </c>
      <c r="F163" s="59">
        <f>SUM(LoanCalculator[[#This Row],[Opening balance]:[Repayment]])</f>
        <v>50594.419999999867</v>
      </c>
    </row>
    <row r="164" spans="2:6" x14ac:dyDescent="0.2">
      <c r="B164" s="53">
        <f>ROW()-ROW(LoanCalculator[[#Headers],[Period]])</f>
        <v>153</v>
      </c>
      <c r="C164" s="59">
        <f t="shared" si="2"/>
        <v>50594.419999999867</v>
      </c>
      <c r="D164" s="59">
        <f>ROUND(LoanCalculator[[#This Row],[Opening balance]]*$D$7/12,2)</f>
        <v>232.31</v>
      </c>
      <c r="E164" s="59">
        <f>MAX(-$D$6,-LoanCalculator[[#This Row],[Opening balance]]-LoanCalculator[[#This Row],[Interest]])</f>
        <v>-1600</v>
      </c>
      <c r="F164" s="59">
        <f>SUM(LoanCalculator[[#This Row],[Opening balance]:[Repayment]])</f>
        <v>49226.729999999865</v>
      </c>
    </row>
    <row r="165" spans="2:6" x14ac:dyDescent="0.2">
      <c r="B165" s="53">
        <f>ROW()-ROW(LoanCalculator[[#Headers],[Period]])</f>
        <v>154</v>
      </c>
      <c r="C165" s="59">
        <f t="shared" si="2"/>
        <v>49226.729999999865</v>
      </c>
      <c r="D165" s="59">
        <f>ROUND(LoanCalculator[[#This Row],[Opening balance]]*$D$7/12,2)</f>
        <v>226.03</v>
      </c>
      <c r="E165" s="59">
        <f>MAX(-$D$6,-LoanCalculator[[#This Row],[Opening balance]]-LoanCalculator[[#This Row],[Interest]])</f>
        <v>-1600</v>
      </c>
      <c r="F165" s="59">
        <f>SUM(LoanCalculator[[#This Row],[Opening balance]:[Repayment]])</f>
        <v>47852.759999999864</v>
      </c>
    </row>
    <row r="166" spans="2:6" x14ac:dyDescent="0.2">
      <c r="B166" s="53">
        <f>ROW()-ROW(LoanCalculator[[#Headers],[Period]])</f>
        <v>155</v>
      </c>
      <c r="C166" s="59">
        <f t="shared" si="2"/>
        <v>47852.759999999864</v>
      </c>
      <c r="D166" s="59">
        <f>ROUND(LoanCalculator[[#This Row],[Opening balance]]*$D$7/12,2)</f>
        <v>219.72</v>
      </c>
      <c r="E166" s="59">
        <f>MAX(-$D$6,-LoanCalculator[[#This Row],[Opening balance]]-LoanCalculator[[#This Row],[Interest]])</f>
        <v>-1600</v>
      </c>
      <c r="F166" s="59">
        <f>SUM(LoanCalculator[[#This Row],[Opening balance]:[Repayment]])</f>
        <v>46472.479999999865</v>
      </c>
    </row>
    <row r="167" spans="2:6" x14ac:dyDescent="0.2">
      <c r="B167" s="53">
        <f>ROW()-ROW(LoanCalculator[[#Headers],[Period]])</f>
        <v>156</v>
      </c>
      <c r="C167" s="59">
        <f t="shared" si="2"/>
        <v>46472.479999999865</v>
      </c>
      <c r="D167" s="59">
        <f>ROUND(LoanCalculator[[#This Row],[Opening balance]]*$D$7/12,2)</f>
        <v>213.39</v>
      </c>
      <c r="E167" s="59">
        <f>MAX(-$D$6,-LoanCalculator[[#This Row],[Opening balance]]-LoanCalculator[[#This Row],[Interest]])</f>
        <v>-1600</v>
      </c>
      <c r="F167" s="59">
        <f>SUM(LoanCalculator[[#This Row],[Opening balance]:[Repayment]])</f>
        <v>45085.869999999864</v>
      </c>
    </row>
    <row r="168" spans="2:6" x14ac:dyDescent="0.2">
      <c r="B168" s="53">
        <f>ROW()-ROW(LoanCalculator[[#Headers],[Period]])</f>
        <v>157</v>
      </c>
      <c r="C168" s="59">
        <f t="shared" si="2"/>
        <v>45085.869999999864</v>
      </c>
      <c r="D168" s="59">
        <f>ROUND(LoanCalculator[[#This Row],[Opening balance]]*$D$7/12,2)</f>
        <v>207.02</v>
      </c>
      <c r="E168" s="59">
        <f>MAX(-$D$6,-LoanCalculator[[#This Row],[Opening balance]]-LoanCalculator[[#This Row],[Interest]])</f>
        <v>-1600</v>
      </c>
      <c r="F168" s="59">
        <f>SUM(LoanCalculator[[#This Row],[Opening balance]:[Repayment]])</f>
        <v>43692.889999999861</v>
      </c>
    </row>
    <row r="169" spans="2:6" x14ac:dyDescent="0.2">
      <c r="B169" s="53">
        <f>ROW()-ROW(LoanCalculator[[#Headers],[Period]])</f>
        <v>158</v>
      </c>
      <c r="C169" s="59">
        <f t="shared" si="2"/>
        <v>43692.889999999861</v>
      </c>
      <c r="D169" s="59">
        <f>ROUND(LoanCalculator[[#This Row],[Opening balance]]*$D$7/12,2)</f>
        <v>200.62</v>
      </c>
      <c r="E169" s="59">
        <f>MAX(-$D$6,-LoanCalculator[[#This Row],[Opening balance]]-LoanCalculator[[#This Row],[Interest]])</f>
        <v>-1600</v>
      </c>
      <c r="F169" s="59">
        <f>SUM(LoanCalculator[[#This Row],[Opening balance]:[Repayment]])</f>
        <v>42293.509999999864</v>
      </c>
    </row>
    <row r="170" spans="2:6" x14ac:dyDescent="0.2">
      <c r="B170" s="53">
        <f>ROW()-ROW(LoanCalculator[[#Headers],[Period]])</f>
        <v>159</v>
      </c>
      <c r="C170" s="59">
        <f t="shared" si="2"/>
        <v>42293.509999999864</v>
      </c>
      <c r="D170" s="59">
        <f>ROUND(LoanCalculator[[#This Row],[Opening balance]]*$D$7/12,2)</f>
        <v>194.2</v>
      </c>
      <c r="E170" s="59">
        <f>MAX(-$D$6,-LoanCalculator[[#This Row],[Opening balance]]-LoanCalculator[[#This Row],[Interest]])</f>
        <v>-1600</v>
      </c>
      <c r="F170" s="59">
        <f>SUM(LoanCalculator[[#This Row],[Opening balance]:[Repayment]])</f>
        <v>40887.709999999861</v>
      </c>
    </row>
    <row r="171" spans="2:6" x14ac:dyDescent="0.2">
      <c r="B171" s="53">
        <f>ROW()-ROW(LoanCalculator[[#Headers],[Period]])</f>
        <v>160</v>
      </c>
      <c r="C171" s="59">
        <f t="shared" si="2"/>
        <v>40887.709999999861</v>
      </c>
      <c r="D171" s="59">
        <f>ROUND(LoanCalculator[[#This Row],[Opening balance]]*$D$7/12,2)</f>
        <v>187.74</v>
      </c>
      <c r="E171" s="59">
        <f>MAX(-$D$6,-LoanCalculator[[#This Row],[Opening balance]]-LoanCalculator[[#This Row],[Interest]])</f>
        <v>-1600</v>
      </c>
      <c r="F171" s="59">
        <f>SUM(LoanCalculator[[#This Row],[Opening balance]:[Repayment]])</f>
        <v>39475.449999999859</v>
      </c>
    </row>
    <row r="172" spans="2:6" x14ac:dyDescent="0.2">
      <c r="B172" s="53">
        <f>ROW()-ROW(LoanCalculator[[#Headers],[Period]])</f>
        <v>161</v>
      </c>
      <c r="C172" s="59">
        <f t="shared" si="2"/>
        <v>39475.449999999859</v>
      </c>
      <c r="D172" s="59">
        <f>ROUND(LoanCalculator[[#This Row],[Opening balance]]*$D$7/12,2)</f>
        <v>181.26</v>
      </c>
      <c r="E172" s="59">
        <f>MAX(-$D$6,-LoanCalculator[[#This Row],[Opening balance]]-LoanCalculator[[#This Row],[Interest]])</f>
        <v>-1600</v>
      </c>
      <c r="F172" s="59">
        <f>SUM(LoanCalculator[[#This Row],[Opening balance]:[Repayment]])</f>
        <v>38056.709999999861</v>
      </c>
    </row>
    <row r="173" spans="2:6" x14ac:dyDescent="0.2">
      <c r="B173" s="53">
        <f>ROW()-ROW(LoanCalculator[[#Headers],[Period]])</f>
        <v>162</v>
      </c>
      <c r="C173" s="59">
        <f t="shared" si="2"/>
        <v>38056.709999999861</v>
      </c>
      <c r="D173" s="59">
        <f>ROUND(LoanCalculator[[#This Row],[Opening balance]]*$D$7/12,2)</f>
        <v>174.74</v>
      </c>
      <c r="E173" s="59">
        <f>MAX(-$D$6,-LoanCalculator[[#This Row],[Opening balance]]-LoanCalculator[[#This Row],[Interest]])</f>
        <v>-1600</v>
      </c>
      <c r="F173" s="59">
        <f>SUM(LoanCalculator[[#This Row],[Opening balance]:[Repayment]])</f>
        <v>36631.449999999859</v>
      </c>
    </row>
    <row r="174" spans="2:6" x14ac:dyDescent="0.2">
      <c r="B174" s="53">
        <f>ROW()-ROW(LoanCalculator[[#Headers],[Period]])</f>
        <v>163</v>
      </c>
      <c r="C174" s="59">
        <f t="shared" si="2"/>
        <v>36631.449999999859</v>
      </c>
      <c r="D174" s="59">
        <f>ROUND(LoanCalculator[[#This Row],[Opening balance]]*$D$7/12,2)</f>
        <v>168.2</v>
      </c>
      <c r="E174" s="59">
        <f>MAX(-$D$6,-LoanCalculator[[#This Row],[Opening balance]]-LoanCalculator[[#This Row],[Interest]])</f>
        <v>-1600</v>
      </c>
      <c r="F174" s="59">
        <f>SUM(LoanCalculator[[#This Row],[Opening balance]:[Repayment]])</f>
        <v>35199.649999999856</v>
      </c>
    </row>
    <row r="175" spans="2:6" x14ac:dyDescent="0.2">
      <c r="B175" s="53">
        <f>ROW()-ROW(LoanCalculator[[#Headers],[Period]])</f>
        <v>164</v>
      </c>
      <c r="C175" s="59">
        <f t="shared" si="2"/>
        <v>35199.649999999856</v>
      </c>
      <c r="D175" s="59">
        <f>ROUND(LoanCalculator[[#This Row],[Opening balance]]*$D$7/12,2)</f>
        <v>161.63</v>
      </c>
      <c r="E175" s="59">
        <f>MAX(-$D$6,-LoanCalculator[[#This Row],[Opening balance]]-LoanCalculator[[#This Row],[Interest]])</f>
        <v>-1600</v>
      </c>
      <c r="F175" s="59">
        <f>SUM(LoanCalculator[[#This Row],[Opening balance]:[Repayment]])</f>
        <v>33761.279999999853</v>
      </c>
    </row>
    <row r="176" spans="2:6" x14ac:dyDescent="0.2">
      <c r="B176" s="53">
        <f>ROW()-ROW(LoanCalculator[[#Headers],[Period]])</f>
        <v>165</v>
      </c>
      <c r="C176" s="59">
        <f t="shared" si="2"/>
        <v>33761.279999999853</v>
      </c>
      <c r="D176" s="59">
        <f>ROUND(LoanCalculator[[#This Row],[Opening balance]]*$D$7/12,2)</f>
        <v>155.02000000000001</v>
      </c>
      <c r="E176" s="59">
        <f>MAX(-$D$6,-LoanCalculator[[#This Row],[Opening balance]]-LoanCalculator[[#This Row],[Interest]])</f>
        <v>-1600</v>
      </c>
      <c r="F176" s="59">
        <f>SUM(LoanCalculator[[#This Row],[Opening balance]:[Repayment]])</f>
        <v>32316.29999999985</v>
      </c>
    </row>
    <row r="177" spans="2:6" x14ac:dyDescent="0.2">
      <c r="B177" s="53">
        <f>ROW()-ROW(LoanCalculator[[#Headers],[Period]])</f>
        <v>166</v>
      </c>
      <c r="C177" s="59">
        <f t="shared" si="2"/>
        <v>32316.29999999985</v>
      </c>
      <c r="D177" s="59">
        <f>ROUND(LoanCalculator[[#This Row],[Opening balance]]*$D$7/12,2)</f>
        <v>148.38999999999999</v>
      </c>
      <c r="E177" s="59">
        <f>MAX(-$D$6,-LoanCalculator[[#This Row],[Opening balance]]-LoanCalculator[[#This Row],[Interest]])</f>
        <v>-1600</v>
      </c>
      <c r="F177" s="59">
        <f>SUM(LoanCalculator[[#This Row],[Opening balance]:[Repayment]])</f>
        <v>30864.68999999985</v>
      </c>
    </row>
    <row r="178" spans="2:6" x14ac:dyDescent="0.2">
      <c r="B178" s="53">
        <f>ROW()-ROW(LoanCalculator[[#Headers],[Period]])</f>
        <v>167</v>
      </c>
      <c r="C178" s="59">
        <f t="shared" si="2"/>
        <v>30864.68999999985</v>
      </c>
      <c r="D178" s="59">
        <f>ROUND(LoanCalculator[[#This Row],[Opening balance]]*$D$7/12,2)</f>
        <v>141.72</v>
      </c>
      <c r="E178" s="59">
        <f>MAX(-$D$6,-LoanCalculator[[#This Row],[Opening balance]]-LoanCalculator[[#This Row],[Interest]])</f>
        <v>-1600</v>
      </c>
      <c r="F178" s="59">
        <f>SUM(LoanCalculator[[#This Row],[Opening balance]:[Repayment]])</f>
        <v>29406.409999999851</v>
      </c>
    </row>
    <row r="179" spans="2:6" x14ac:dyDescent="0.2">
      <c r="B179" s="53">
        <f>ROW()-ROW(LoanCalculator[[#Headers],[Period]])</f>
        <v>168</v>
      </c>
      <c r="C179" s="59">
        <f t="shared" si="2"/>
        <v>29406.409999999851</v>
      </c>
      <c r="D179" s="59">
        <f>ROUND(LoanCalculator[[#This Row],[Opening balance]]*$D$7/12,2)</f>
        <v>135.02000000000001</v>
      </c>
      <c r="E179" s="59">
        <f>MAX(-$D$6,-LoanCalculator[[#This Row],[Opening balance]]-LoanCalculator[[#This Row],[Interest]])</f>
        <v>-1600</v>
      </c>
      <c r="F179" s="59">
        <f>SUM(LoanCalculator[[#This Row],[Opening balance]:[Repayment]])</f>
        <v>27941.429999999851</v>
      </c>
    </row>
    <row r="180" spans="2:6" x14ac:dyDescent="0.2">
      <c r="B180" s="53">
        <f>ROW()-ROW(LoanCalculator[[#Headers],[Period]])</f>
        <v>169</v>
      </c>
      <c r="C180" s="59">
        <f t="shared" si="2"/>
        <v>27941.429999999851</v>
      </c>
      <c r="D180" s="59">
        <f>ROUND(LoanCalculator[[#This Row],[Opening balance]]*$D$7/12,2)</f>
        <v>128.30000000000001</v>
      </c>
      <c r="E180" s="59">
        <f>MAX(-$D$6,-LoanCalculator[[#This Row],[Opening balance]]-LoanCalculator[[#This Row],[Interest]])</f>
        <v>-1600</v>
      </c>
      <c r="F180" s="59">
        <f>SUM(LoanCalculator[[#This Row],[Opening balance]:[Repayment]])</f>
        <v>26469.72999999985</v>
      </c>
    </row>
    <row r="181" spans="2:6" x14ac:dyDescent="0.2">
      <c r="B181" s="53">
        <f>ROW()-ROW(LoanCalculator[[#Headers],[Period]])</f>
        <v>170</v>
      </c>
      <c r="C181" s="59">
        <f t="shared" si="2"/>
        <v>26469.72999999985</v>
      </c>
      <c r="D181" s="59">
        <f>ROUND(LoanCalculator[[#This Row],[Opening balance]]*$D$7/12,2)</f>
        <v>121.54</v>
      </c>
      <c r="E181" s="59">
        <f>MAX(-$D$6,-LoanCalculator[[#This Row],[Opening balance]]-LoanCalculator[[#This Row],[Interest]])</f>
        <v>-1600</v>
      </c>
      <c r="F181" s="59">
        <f>SUM(LoanCalculator[[#This Row],[Opening balance]:[Repayment]])</f>
        <v>24991.269999999851</v>
      </c>
    </row>
    <row r="182" spans="2:6" x14ac:dyDescent="0.2">
      <c r="B182" s="53">
        <f>ROW()-ROW(LoanCalculator[[#Headers],[Period]])</f>
        <v>171</v>
      </c>
      <c r="C182" s="59">
        <f t="shared" si="2"/>
        <v>24991.269999999851</v>
      </c>
      <c r="D182" s="59">
        <f>ROUND(LoanCalculator[[#This Row],[Opening balance]]*$D$7/12,2)</f>
        <v>114.75</v>
      </c>
      <c r="E182" s="59">
        <f>MAX(-$D$6,-LoanCalculator[[#This Row],[Opening balance]]-LoanCalculator[[#This Row],[Interest]])</f>
        <v>-1600</v>
      </c>
      <c r="F182" s="59">
        <f>SUM(LoanCalculator[[#This Row],[Opening balance]:[Repayment]])</f>
        <v>23506.019999999851</v>
      </c>
    </row>
    <row r="183" spans="2:6" x14ac:dyDescent="0.2">
      <c r="B183" s="53">
        <f>ROW()-ROW(LoanCalculator[[#Headers],[Period]])</f>
        <v>172</v>
      </c>
      <c r="C183" s="59">
        <f t="shared" si="2"/>
        <v>23506.019999999851</v>
      </c>
      <c r="D183" s="59">
        <f>ROUND(LoanCalculator[[#This Row],[Opening balance]]*$D$7/12,2)</f>
        <v>107.93</v>
      </c>
      <c r="E183" s="59">
        <f>MAX(-$D$6,-LoanCalculator[[#This Row],[Opening balance]]-LoanCalculator[[#This Row],[Interest]])</f>
        <v>-1600</v>
      </c>
      <c r="F183" s="59">
        <f>SUM(LoanCalculator[[#This Row],[Opening balance]:[Repayment]])</f>
        <v>22013.949999999852</v>
      </c>
    </row>
    <row r="184" spans="2:6" x14ac:dyDescent="0.2">
      <c r="B184" s="53">
        <f>ROW()-ROW(LoanCalculator[[#Headers],[Period]])</f>
        <v>173</v>
      </c>
      <c r="C184" s="59">
        <f t="shared" si="2"/>
        <v>22013.949999999852</v>
      </c>
      <c r="D184" s="59">
        <f>ROUND(LoanCalculator[[#This Row],[Opening balance]]*$D$7/12,2)</f>
        <v>101.08</v>
      </c>
      <c r="E184" s="59">
        <f>MAX(-$D$6,-LoanCalculator[[#This Row],[Opening balance]]-LoanCalculator[[#This Row],[Interest]])</f>
        <v>-1600</v>
      </c>
      <c r="F184" s="59">
        <f>SUM(LoanCalculator[[#This Row],[Opening balance]:[Repayment]])</f>
        <v>20515.029999999853</v>
      </c>
    </row>
    <row r="185" spans="2:6" x14ac:dyDescent="0.2">
      <c r="B185" s="53">
        <f>ROW()-ROW(LoanCalculator[[#Headers],[Period]])</f>
        <v>174</v>
      </c>
      <c r="C185" s="59">
        <f t="shared" si="2"/>
        <v>20515.029999999853</v>
      </c>
      <c r="D185" s="59">
        <f>ROUND(LoanCalculator[[#This Row],[Opening balance]]*$D$7/12,2)</f>
        <v>94.2</v>
      </c>
      <c r="E185" s="59">
        <f>MAX(-$D$6,-LoanCalculator[[#This Row],[Opening balance]]-LoanCalculator[[#This Row],[Interest]])</f>
        <v>-1600</v>
      </c>
      <c r="F185" s="59">
        <f>SUM(LoanCalculator[[#This Row],[Opening balance]:[Repayment]])</f>
        <v>19009.229999999854</v>
      </c>
    </row>
    <row r="186" spans="2:6" x14ac:dyDescent="0.2">
      <c r="B186" s="53">
        <f>ROW()-ROW(LoanCalculator[[#Headers],[Period]])</f>
        <v>175</v>
      </c>
      <c r="C186" s="59">
        <f t="shared" si="2"/>
        <v>19009.229999999854</v>
      </c>
      <c r="D186" s="59">
        <f>ROUND(LoanCalculator[[#This Row],[Opening balance]]*$D$7/12,2)</f>
        <v>87.28</v>
      </c>
      <c r="E186" s="59">
        <f>MAX(-$D$6,-LoanCalculator[[#This Row],[Opening balance]]-LoanCalculator[[#This Row],[Interest]])</f>
        <v>-1600</v>
      </c>
      <c r="F186" s="59">
        <f>SUM(LoanCalculator[[#This Row],[Opening balance]:[Repayment]])</f>
        <v>17496.509999999853</v>
      </c>
    </row>
    <row r="187" spans="2:6" x14ac:dyDescent="0.2">
      <c r="B187" s="53">
        <f>ROW()-ROW(LoanCalculator[[#Headers],[Period]])</f>
        <v>176</v>
      </c>
      <c r="C187" s="59">
        <f t="shared" si="2"/>
        <v>17496.509999999853</v>
      </c>
      <c r="D187" s="59">
        <f>ROUND(LoanCalculator[[#This Row],[Opening balance]]*$D$7/12,2)</f>
        <v>80.34</v>
      </c>
      <c r="E187" s="59">
        <f>MAX(-$D$6,-LoanCalculator[[#This Row],[Opening balance]]-LoanCalculator[[#This Row],[Interest]])</f>
        <v>-1600</v>
      </c>
      <c r="F187" s="59">
        <f>SUM(LoanCalculator[[#This Row],[Opening balance]:[Repayment]])</f>
        <v>15976.849999999853</v>
      </c>
    </row>
    <row r="188" spans="2:6" x14ac:dyDescent="0.2">
      <c r="B188" s="53">
        <f>ROW()-ROW(LoanCalculator[[#Headers],[Period]])</f>
        <v>177</v>
      </c>
      <c r="C188" s="59">
        <f t="shared" si="2"/>
        <v>15976.849999999853</v>
      </c>
      <c r="D188" s="59">
        <f>ROUND(LoanCalculator[[#This Row],[Opening balance]]*$D$7/12,2)</f>
        <v>73.36</v>
      </c>
      <c r="E188" s="59">
        <f>MAX(-$D$6,-LoanCalculator[[#This Row],[Opening balance]]-LoanCalculator[[#This Row],[Interest]])</f>
        <v>-1600</v>
      </c>
      <c r="F188" s="59">
        <f>SUM(LoanCalculator[[#This Row],[Opening balance]:[Repayment]])</f>
        <v>14450.209999999854</v>
      </c>
    </row>
    <row r="189" spans="2:6" x14ac:dyDescent="0.2">
      <c r="B189" s="53">
        <f>ROW()-ROW(LoanCalculator[[#Headers],[Period]])</f>
        <v>178</v>
      </c>
      <c r="C189" s="59">
        <f t="shared" si="2"/>
        <v>14450.209999999854</v>
      </c>
      <c r="D189" s="59">
        <f>ROUND(LoanCalculator[[#This Row],[Opening balance]]*$D$7/12,2)</f>
        <v>66.349999999999994</v>
      </c>
      <c r="E189" s="59">
        <f>MAX(-$D$6,-LoanCalculator[[#This Row],[Opening balance]]-LoanCalculator[[#This Row],[Interest]])</f>
        <v>-1600</v>
      </c>
      <c r="F189" s="59">
        <f>SUM(LoanCalculator[[#This Row],[Opening balance]:[Repayment]])</f>
        <v>12916.559999999854</v>
      </c>
    </row>
    <row r="190" spans="2:6" x14ac:dyDescent="0.2">
      <c r="B190" s="53">
        <f>ROW()-ROW(LoanCalculator[[#Headers],[Period]])</f>
        <v>179</v>
      </c>
      <c r="C190" s="59">
        <f t="shared" si="2"/>
        <v>12916.559999999854</v>
      </c>
      <c r="D190" s="59">
        <f>ROUND(LoanCalculator[[#This Row],[Opening balance]]*$D$7/12,2)</f>
        <v>59.31</v>
      </c>
      <c r="E190" s="59">
        <f>MAX(-$D$6,-LoanCalculator[[#This Row],[Opening balance]]-LoanCalculator[[#This Row],[Interest]])</f>
        <v>-1600</v>
      </c>
      <c r="F190" s="59">
        <f>SUM(LoanCalculator[[#This Row],[Opening balance]:[Repayment]])</f>
        <v>11375.869999999853</v>
      </c>
    </row>
    <row r="191" spans="2:6" x14ac:dyDescent="0.2">
      <c r="B191" s="53">
        <f>ROW()-ROW(LoanCalculator[[#Headers],[Period]])</f>
        <v>180</v>
      </c>
      <c r="C191" s="59">
        <f t="shared" si="2"/>
        <v>11375.869999999853</v>
      </c>
      <c r="D191" s="59">
        <f>ROUND(LoanCalculator[[#This Row],[Opening balance]]*$D$7/12,2)</f>
        <v>52.23</v>
      </c>
      <c r="E191" s="59">
        <f>MAX(-$D$6,-LoanCalculator[[#This Row],[Opening balance]]-LoanCalculator[[#This Row],[Interest]])</f>
        <v>-1600</v>
      </c>
      <c r="F191" s="59">
        <f>SUM(LoanCalculator[[#This Row],[Opening balance]:[Repayment]])</f>
        <v>9828.099999999853</v>
      </c>
    </row>
    <row r="192" spans="2:6" x14ac:dyDescent="0.2">
      <c r="B192" s="53">
        <f>ROW()-ROW(LoanCalculator[[#Headers],[Period]])</f>
        <v>181</v>
      </c>
      <c r="C192" s="59">
        <f t="shared" si="2"/>
        <v>9828.099999999853</v>
      </c>
      <c r="D192" s="59">
        <f>ROUND(LoanCalculator[[#This Row],[Opening balance]]*$D$7/12,2)</f>
        <v>45.13</v>
      </c>
      <c r="E192" s="59">
        <f>MAX(-$D$6,-LoanCalculator[[#This Row],[Opening balance]]-LoanCalculator[[#This Row],[Interest]])</f>
        <v>-1600</v>
      </c>
      <c r="F192" s="59">
        <f>SUM(LoanCalculator[[#This Row],[Opening balance]:[Repayment]])</f>
        <v>8273.2299999998522</v>
      </c>
    </row>
    <row r="193" spans="2:6" x14ac:dyDescent="0.2">
      <c r="B193" s="53">
        <f>ROW()-ROW(LoanCalculator[[#Headers],[Period]])</f>
        <v>182</v>
      </c>
      <c r="C193" s="59">
        <f t="shared" si="2"/>
        <v>8273.2299999998522</v>
      </c>
      <c r="D193" s="59">
        <f>ROUND(LoanCalculator[[#This Row],[Opening balance]]*$D$7/12,2)</f>
        <v>37.99</v>
      </c>
      <c r="E193" s="59">
        <f>MAX(-$D$6,-LoanCalculator[[#This Row],[Opening balance]]-LoanCalculator[[#This Row],[Interest]])</f>
        <v>-1600</v>
      </c>
      <c r="F193" s="59">
        <f>SUM(LoanCalculator[[#This Row],[Opening balance]:[Repayment]])</f>
        <v>6711.219999999852</v>
      </c>
    </row>
    <row r="194" spans="2:6" x14ac:dyDescent="0.2">
      <c r="B194" s="53">
        <f>ROW()-ROW(LoanCalculator[[#Headers],[Period]])</f>
        <v>183</v>
      </c>
      <c r="C194" s="59">
        <f t="shared" si="2"/>
        <v>6711.219999999852</v>
      </c>
      <c r="D194" s="59">
        <f>ROUND(LoanCalculator[[#This Row],[Opening balance]]*$D$7/12,2)</f>
        <v>30.82</v>
      </c>
      <c r="E194" s="59">
        <f>MAX(-$D$6,-LoanCalculator[[#This Row],[Opening balance]]-LoanCalculator[[#This Row],[Interest]])</f>
        <v>-1600</v>
      </c>
      <c r="F194" s="59">
        <f>SUM(LoanCalculator[[#This Row],[Opening balance]:[Repayment]])</f>
        <v>5142.0399999998517</v>
      </c>
    </row>
    <row r="195" spans="2:6" x14ac:dyDescent="0.2">
      <c r="B195" s="53">
        <f>ROW()-ROW(LoanCalculator[[#Headers],[Period]])</f>
        <v>184</v>
      </c>
      <c r="C195" s="59">
        <f t="shared" si="2"/>
        <v>5142.0399999998517</v>
      </c>
      <c r="D195" s="59">
        <f>ROUND(LoanCalculator[[#This Row],[Opening balance]]*$D$7/12,2)</f>
        <v>23.61</v>
      </c>
      <c r="E195" s="59">
        <f>MAX(-$D$6,-LoanCalculator[[#This Row],[Opening balance]]-LoanCalculator[[#This Row],[Interest]])</f>
        <v>-1600</v>
      </c>
      <c r="F195" s="59">
        <f>SUM(LoanCalculator[[#This Row],[Opening balance]:[Repayment]])</f>
        <v>3565.6499999998514</v>
      </c>
    </row>
    <row r="196" spans="2:6" x14ac:dyDescent="0.2">
      <c r="B196" s="53">
        <f>ROW()-ROW(LoanCalculator[[#Headers],[Period]])</f>
        <v>185</v>
      </c>
      <c r="C196" s="59">
        <f t="shared" si="2"/>
        <v>3565.6499999998514</v>
      </c>
      <c r="D196" s="59">
        <f>ROUND(LoanCalculator[[#This Row],[Opening balance]]*$D$7/12,2)</f>
        <v>16.37</v>
      </c>
      <c r="E196" s="59">
        <f>MAX(-$D$6,-LoanCalculator[[#This Row],[Opening balance]]-LoanCalculator[[#This Row],[Interest]])</f>
        <v>-1600</v>
      </c>
      <c r="F196" s="59">
        <f>SUM(LoanCalculator[[#This Row],[Opening balance]:[Repayment]])</f>
        <v>1982.0199999998513</v>
      </c>
    </row>
    <row r="197" spans="2:6" x14ac:dyDescent="0.2">
      <c r="B197" s="53">
        <f>ROW()-ROW(LoanCalculator[[#Headers],[Period]])</f>
        <v>186</v>
      </c>
      <c r="C197" s="59">
        <f t="shared" si="2"/>
        <v>1982.0199999998513</v>
      </c>
      <c r="D197" s="59">
        <f>ROUND(LoanCalculator[[#This Row],[Opening balance]]*$D$7/12,2)</f>
        <v>9.1</v>
      </c>
      <c r="E197" s="59">
        <f>MAX(-$D$6,-LoanCalculator[[#This Row],[Opening balance]]-LoanCalculator[[#This Row],[Interest]])</f>
        <v>-1600</v>
      </c>
      <c r="F197" s="59">
        <f>SUM(LoanCalculator[[#This Row],[Opening balance]:[Repayment]])</f>
        <v>391.11999999985119</v>
      </c>
    </row>
    <row r="198" spans="2:6" x14ac:dyDescent="0.2">
      <c r="B198" s="53">
        <f>ROW()-ROW(LoanCalculator[[#Headers],[Period]])</f>
        <v>187</v>
      </c>
      <c r="C198" s="59">
        <f t="shared" si="2"/>
        <v>391.11999999985119</v>
      </c>
      <c r="D198" s="59">
        <f>ROUND(LoanCalculator[[#This Row],[Opening balance]]*$D$7/12,2)</f>
        <v>1.8</v>
      </c>
      <c r="E198" s="59">
        <f>MAX(-$D$6,-LoanCalculator[[#This Row],[Opening balance]]-LoanCalculator[[#This Row],[Interest]])</f>
        <v>-392.9199999998512</v>
      </c>
      <c r="F198" s="59">
        <f>SUM(LoanCalculator[[#This Row],[Opening balance]:[Repayment]])</f>
        <v>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79D6D-2FDD-4E09-9410-2C405E4B4BF0}">
  <dimension ref="A1:K120"/>
  <sheetViews>
    <sheetView workbookViewId="0"/>
  </sheetViews>
  <sheetFormatPr defaultRowHeight="14.25" x14ac:dyDescent="0.2"/>
  <cols>
    <col min="1" max="1" width="16.125" customWidth="1"/>
    <col min="2" max="2" width="20.375" bestFit="1" customWidth="1"/>
    <col min="3" max="3" width="14.75" bestFit="1" customWidth="1"/>
    <col min="4" max="5" width="14.5" bestFit="1" customWidth="1"/>
    <col min="10" max="10" width="11.125" bestFit="1" customWidth="1"/>
    <col min="11" max="11" width="9.125" bestFit="1" customWidth="1"/>
  </cols>
  <sheetData>
    <row r="1" spans="1:11" x14ac:dyDescent="0.2">
      <c r="A1" t="s">
        <v>151</v>
      </c>
      <c r="J1" t="s">
        <v>152</v>
      </c>
    </row>
    <row r="2" spans="1:11" ht="15" x14ac:dyDescent="0.25">
      <c r="A2" t="s">
        <v>153</v>
      </c>
      <c r="J2" s="2" t="s">
        <v>154</v>
      </c>
      <c r="K2" s="2" t="s">
        <v>155</v>
      </c>
    </row>
    <row r="3" spans="1:11" x14ac:dyDescent="0.2">
      <c r="J3" s="3">
        <v>2500</v>
      </c>
      <c r="K3" t="s">
        <v>156</v>
      </c>
    </row>
    <row r="4" spans="1:11" x14ac:dyDescent="0.2">
      <c r="A4" t="s">
        <v>157</v>
      </c>
      <c r="J4" s="3">
        <v>4000</v>
      </c>
      <c r="K4" t="s">
        <v>158</v>
      </c>
    </row>
    <row r="5" spans="1:11" x14ac:dyDescent="0.2">
      <c r="A5" t="s">
        <v>159</v>
      </c>
      <c r="J5" s="3">
        <v>7500</v>
      </c>
      <c r="K5" t="s">
        <v>160</v>
      </c>
    </row>
    <row r="6" spans="1:11" x14ac:dyDescent="0.2">
      <c r="J6" s="3">
        <v>10000</v>
      </c>
      <c r="K6" t="s">
        <v>161</v>
      </c>
    </row>
    <row r="7" spans="1:11" x14ac:dyDescent="0.2">
      <c r="A7" t="s">
        <v>162</v>
      </c>
    </row>
    <row r="9" spans="1:11" ht="15" x14ac:dyDescent="0.25">
      <c r="A9" s="2" t="s">
        <v>163</v>
      </c>
      <c r="B9" s="2" t="s">
        <v>164</v>
      </c>
    </row>
    <row r="10" spans="1:11" x14ac:dyDescent="0.2">
      <c r="A10" t="s">
        <v>165</v>
      </c>
      <c r="B10" t="s">
        <v>166</v>
      </c>
    </row>
    <row r="12" spans="1:11" x14ac:dyDescent="0.2">
      <c r="A12" t="s">
        <v>167</v>
      </c>
    </row>
    <row r="14" spans="1:11" ht="15" x14ac:dyDescent="0.25">
      <c r="A14" s="2" t="s">
        <v>163</v>
      </c>
      <c r="B14" s="2" t="s">
        <v>164</v>
      </c>
    </row>
    <row r="15" spans="1:11" x14ac:dyDescent="0.2">
      <c r="A15" t="s">
        <v>165</v>
      </c>
    </row>
    <row r="16" spans="1:11" x14ac:dyDescent="0.2">
      <c r="B16" t="s">
        <v>166</v>
      </c>
    </row>
    <row r="18" spans="1:5" x14ac:dyDescent="0.2">
      <c r="A18" t="s">
        <v>168</v>
      </c>
    </row>
    <row r="20" spans="1:5" ht="15" x14ac:dyDescent="0.25">
      <c r="A20" s="2" t="s">
        <v>169</v>
      </c>
      <c r="B20" s="2" t="s">
        <v>163</v>
      </c>
      <c r="C20" s="2" t="s">
        <v>170</v>
      </c>
      <c r="D20" s="2" t="s">
        <v>164</v>
      </c>
      <c r="E20" s="2" t="s">
        <v>171</v>
      </c>
    </row>
    <row r="21" spans="1:5" x14ac:dyDescent="0.2">
      <c r="A21" s="4">
        <v>43102</v>
      </c>
      <c r="B21" t="s">
        <v>172</v>
      </c>
      <c r="C21" t="s">
        <v>173</v>
      </c>
      <c r="D21" s="3">
        <v>3810.19</v>
      </c>
      <c r="E21" t="s">
        <v>161</v>
      </c>
    </row>
    <row r="22" spans="1:5" x14ac:dyDescent="0.2">
      <c r="A22" s="4">
        <v>43108</v>
      </c>
      <c r="B22" t="s">
        <v>165</v>
      </c>
      <c r="C22" t="s">
        <v>174</v>
      </c>
      <c r="D22" s="3">
        <v>2976.65</v>
      </c>
      <c r="E22" t="s">
        <v>160</v>
      </c>
    </row>
    <row r="23" spans="1:5" x14ac:dyDescent="0.2">
      <c r="A23" s="4">
        <v>43111</v>
      </c>
      <c r="B23" t="s">
        <v>175</v>
      </c>
      <c r="C23" t="s">
        <v>176</v>
      </c>
      <c r="D23" s="3">
        <v>7247.93</v>
      </c>
      <c r="E23" t="s">
        <v>160</v>
      </c>
    </row>
    <row r="24" spans="1:5" x14ac:dyDescent="0.2">
      <c r="A24" s="4">
        <v>43113</v>
      </c>
      <c r="B24" t="s">
        <v>165</v>
      </c>
      <c r="C24" t="s">
        <v>177</v>
      </c>
      <c r="D24" s="3">
        <v>6438.17</v>
      </c>
      <c r="E24" t="s">
        <v>161</v>
      </c>
    </row>
    <row r="25" spans="1:5" x14ac:dyDescent="0.2">
      <c r="A25" s="4">
        <v>43115</v>
      </c>
      <c r="B25" t="s">
        <v>165</v>
      </c>
      <c r="C25" t="s">
        <v>178</v>
      </c>
      <c r="D25" s="3">
        <v>6971.27</v>
      </c>
      <c r="E25" t="s">
        <v>161</v>
      </c>
    </row>
    <row r="26" spans="1:5" x14ac:dyDescent="0.2">
      <c r="A26" s="4">
        <v>43118</v>
      </c>
      <c r="B26" t="s">
        <v>179</v>
      </c>
      <c r="C26" t="s">
        <v>180</v>
      </c>
      <c r="D26" s="3">
        <v>9117.02</v>
      </c>
      <c r="E26" t="s">
        <v>161</v>
      </c>
    </row>
    <row r="27" spans="1:5" x14ac:dyDescent="0.2">
      <c r="A27" s="4">
        <v>43121</v>
      </c>
      <c r="B27" t="s">
        <v>181</v>
      </c>
      <c r="C27" t="s">
        <v>182</v>
      </c>
      <c r="D27" s="3">
        <v>2163.44</v>
      </c>
      <c r="E27" t="s">
        <v>160</v>
      </c>
    </row>
    <row r="28" spans="1:5" x14ac:dyDescent="0.2">
      <c r="A28" s="4">
        <v>43126</v>
      </c>
      <c r="B28" t="s">
        <v>181</v>
      </c>
      <c r="C28" t="s">
        <v>183</v>
      </c>
      <c r="D28" s="3">
        <v>2311.83</v>
      </c>
      <c r="E28" t="s">
        <v>158</v>
      </c>
    </row>
    <row r="29" spans="1:5" x14ac:dyDescent="0.2">
      <c r="A29" s="4">
        <v>43133</v>
      </c>
      <c r="B29" t="s">
        <v>179</v>
      </c>
      <c r="C29" t="s">
        <v>184</v>
      </c>
      <c r="D29" s="3">
        <v>4387.32</v>
      </c>
      <c r="E29" t="s">
        <v>160</v>
      </c>
    </row>
    <row r="30" spans="1:5" x14ac:dyDescent="0.2">
      <c r="A30" s="4">
        <v>43136</v>
      </c>
      <c r="B30" t="s">
        <v>165</v>
      </c>
      <c r="C30" t="s">
        <v>185</v>
      </c>
      <c r="D30" s="3">
        <v>3614.32</v>
      </c>
      <c r="E30" t="s">
        <v>158</v>
      </c>
    </row>
    <row r="31" spans="1:5" x14ac:dyDescent="0.2">
      <c r="A31" s="4">
        <v>43142</v>
      </c>
      <c r="B31" t="s">
        <v>179</v>
      </c>
      <c r="C31" t="s">
        <v>186</v>
      </c>
      <c r="D31" s="3">
        <v>1836.49</v>
      </c>
      <c r="E31" t="s">
        <v>158</v>
      </c>
    </row>
    <row r="32" spans="1:5" x14ac:dyDescent="0.2">
      <c r="A32" s="4">
        <v>43148</v>
      </c>
      <c r="B32" t="s">
        <v>165</v>
      </c>
      <c r="C32" t="s">
        <v>187</v>
      </c>
      <c r="D32" s="3">
        <v>5695.37</v>
      </c>
      <c r="E32" t="s">
        <v>161</v>
      </c>
    </row>
    <row r="33" spans="1:5" x14ac:dyDescent="0.2">
      <c r="A33" s="4">
        <v>43151</v>
      </c>
      <c r="B33" t="s">
        <v>172</v>
      </c>
      <c r="C33" t="s">
        <v>188</v>
      </c>
      <c r="D33" s="3">
        <v>6219.42</v>
      </c>
      <c r="E33" t="s">
        <v>160</v>
      </c>
    </row>
    <row r="34" spans="1:5" x14ac:dyDescent="0.2">
      <c r="A34" s="4">
        <v>43158</v>
      </c>
      <c r="B34" t="s">
        <v>165</v>
      </c>
      <c r="C34" t="s">
        <v>189</v>
      </c>
      <c r="D34" s="3">
        <v>2769.18</v>
      </c>
      <c r="E34" t="s">
        <v>160</v>
      </c>
    </row>
    <row r="35" spans="1:5" x14ac:dyDescent="0.2">
      <c r="A35" s="4">
        <v>43165</v>
      </c>
      <c r="B35" t="s">
        <v>165</v>
      </c>
      <c r="C35" t="s">
        <v>190</v>
      </c>
      <c r="D35" s="3">
        <v>4010.59</v>
      </c>
      <c r="E35" t="s">
        <v>161</v>
      </c>
    </row>
    <row r="36" spans="1:5" x14ac:dyDescent="0.2">
      <c r="A36" s="4">
        <v>43165</v>
      </c>
      <c r="B36" t="s">
        <v>181</v>
      </c>
      <c r="C36" t="s">
        <v>191</v>
      </c>
      <c r="D36" s="3">
        <v>3405.16</v>
      </c>
      <c r="E36" t="s">
        <v>161</v>
      </c>
    </row>
    <row r="37" spans="1:5" x14ac:dyDescent="0.2">
      <c r="A37" s="4">
        <v>43170</v>
      </c>
      <c r="B37" t="s">
        <v>179</v>
      </c>
      <c r="C37" t="s">
        <v>192</v>
      </c>
      <c r="D37" s="3">
        <v>4480.59</v>
      </c>
      <c r="E37" t="s">
        <v>160</v>
      </c>
    </row>
    <row r="38" spans="1:5" x14ac:dyDescent="0.2">
      <c r="A38" s="4">
        <v>43174</v>
      </c>
      <c r="B38" t="s">
        <v>165</v>
      </c>
      <c r="C38" t="s">
        <v>193</v>
      </c>
      <c r="D38" s="3">
        <v>9090.7199999999993</v>
      </c>
      <c r="E38" t="s">
        <v>161</v>
      </c>
    </row>
    <row r="39" spans="1:5" x14ac:dyDescent="0.2">
      <c r="A39" s="4">
        <v>43180</v>
      </c>
      <c r="B39" t="s">
        <v>175</v>
      </c>
      <c r="C39" t="s">
        <v>194</v>
      </c>
      <c r="D39" s="3">
        <v>1563.93</v>
      </c>
      <c r="E39" t="s">
        <v>156</v>
      </c>
    </row>
    <row r="40" spans="1:5" x14ac:dyDescent="0.2">
      <c r="A40" s="4">
        <v>43186</v>
      </c>
      <c r="B40" t="s">
        <v>165</v>
      </c>
      <c r="C40" t="s">
        <v>195</v>
      </c>
      <c r="D40" s="3">
        <v>6274.24</v>
      </c>
      <c r="E40" t="s">
        <v>160</v>
      </c>
    </row>
    <row r="41" spans="1:5" x14ac:dyDescent="0.2">
      <c r="A41" s="4">
        <v>43187</v>
      </c>
      <c r="B41" t="s">
        <v>165</v>
      </c>
      <c r="C41" t="s">
        <v>196</v>
      </c>
      <c r="D41" s="3">
        <v>9312</v>
      </c>
      <c r="E41" t="s">
        <v>161</v>
      </c>
    </row>
    <row r="42" spans="1:5" x14ac:dyDescent="0.2">
      <c r="A42" s="4">
        <v>43187</v>
      </c>
      <c r="B42" t="s">
        <v>181</v>
      </c>
      <c r="C42" t="s">
        <v>197</v>
      </c>
      <c r="D42" s="3">
        <v>8970.39</v>
      </c>
      <c r="E42" t="s">
        <v>161</v>
      </c>
    </row>
    <row r="43" spans="1:5" x14ac:dyDescent="0.2">
      <c r="A43" s="4">
        <v>43189</v>
      </c>
      <c r="B43" t="s">
        <v>179</v>
      </c>
      <c r="C43" t="s">
        <v>198</v>
      </c>
      <c r="D43" s="3">
        <v>6330.68</v>
      </c>
      <c r="E43" t="s">
        <v>161</v>
      </c>
    </row>
    <row r="44" spans="1:5" x14ac:dyDescent="0.2">
      <c r="A44" s="4">
        <v>43195</v>
      </c>
      <c r="B44" t="s">
        <v>172</v>
      </c>
      <c r="C44" t="s">
        <v>199</v>
      </c>
      <c r="D44" s="3">
        <v>9858.9699999999993</v>
      </c>
      <c r="E44" t="s">
        <v>161</v>
      </c>
    </row>
    <row r="45" spans="1:5" x14ac:dyDescent="0.2">
      <c r="A45" s="4">
        <v>43197</v>
      </c>
      <c r="B45" t="s">
        <v>179</v>
      </c>
      <c r="C45" t="s">
        <v>200</v>
      </c>
      <c r="D45" s="3">
        <v>4807.71</v>
      </c>
      <c r="E45" t="s">
        <v>161</v>
      </c>
    </row>
    <row r="46" spans="1:5" x14ac:dyDescent="0.2">
      <c r="A46" s="4">
        <v>43201</v>
      </c>
      <c r="B46" t="s">
        <v>172</v>
      </c>
      <c r="C46" t="s">
        <v>201</v>
      </c>
      <c r="D46" s="3">
        <v>1152.9000000000001</v>
      </c>
      <c r="E46" t="s">
        <v>158</v>
      </c>
    </row>
    <row r="47" spans="1:5" x14ac:dyDescent="0.2">
      <c r="A47" s="4">
        <v>43202</v>
      </c>
      <c r="B47" t="s">
        <v>175</v>
      </c>
      <c r="C47" t="s">
        <v>202</v>
      </c>
      <c r="D47" s="3">
        <v>3177.81</v>
      </c>
      <c r="E47" t="s">
        <v>161</v>
      </c>
    </row>
    <row r="48" spans="1:5" x14ac:dyDescent="0.2">
      <c r="A48" s="4">
        <v>43204</v>
      </c>
      <c r="B48" t="s">
        <v>179</v>
      </c>
      <c r="C48" t="s">
        <v>203</v>
      </c>
      <c r="D48" s="3">
        <v>6744.5</v>
      </c>
      <c r="E48" t="s">
        <v>161</v>
      </c>
    </row>
    <row r="49" spans="1:5" x14ac:dyDescent="0.2">
      <c r="A49" s="4">
        <v>43204</v>
      </c>
      <c r="B49" t="s">
        <v>181</v>
      </c>
      <c r="C49" t="s">
        <v>204</v>
      </c>
      <c r="D49" s="3">
        <v>4394.67</v>
      </c>
      <c r="E49" t="s">
        <v>160</v>
      </c>
    </row>
    <row r="50" spans="1:5" x14ac:dyDescent="0.2">
      <c r="A50" s="4">
        <v>43211</v>
      </c>
      <c r="B50" t="s">
        <v>179</v>
      </c>
      <c r="C50" t="s">
        <v>205</v>
      </c>
      <c r="D50" s="3">
        <v>4798.7700000000004</v>
      </c>
      <c r="E50" t="s">
        <v>160</v>
      </c>
    </row>
    <row r="51" spans="1:5" x14ac:dyDescent="0.2">
      <c r="A51" s="4">
        <v>43217</v>
      </c>
      <c r="B51" t="s">
        <v>165</v>
      </c>
      <c r="C51" t="s">
        <v>206</v>
      </c>
      <c r="D51" s="3">
        <v>9053.1</v>
      </c>
      <c r="E51" t="s">
        <v>161</v>
      </c>
    </row>
    <row r="52" spans="1:5" x14ac:dyDescent="0.2">
      <c r="A52" s="4">
        <v>43223</v>
      </c>
      <c r="B52" t="s">
        <v>172</v>
      </c>
      <c r="C52" t="s">
        <v>207</v>
      </c>
      <c r="D52" s="3">
        <v>1543.62</v>
      </c>
      <c r="E52" t="s">
        <v>158</v>
      </c>
    </row>
    <row r="53" spans="1:5" x14ac:dyDescent="0.2">
      <c r="A53" s="4">
        <v>43228</v>
      </c>
      <c r="B53" t="s">
        <v>179</v>
      </c>
      <c r="C53" t="s">
        <v>208</v>
      </c>
      <c r="D53" s="3">
        <v>3584.82</v>
      </c>
      <c r="E53" t="s">
        <v>158</v>
      </c>
    </row>
    <row r="54" spans="1:5" x14ac:dyDescent="0.2">
      <c r="A54" s="4">
        <v>43234</v>
      </c>
      <c r="B54" t="s">
        <v>175</v>
      </c>
      <c r="C54" t="s">
        <v>209</v>
      </c>
      <c r="D54" s="3">
        <v>9852.8799999999992</v>
      </c>
      <c r="E54" t="s">
        <v>161</v>
      </c>
    </row>
    <row r="55" spans="1:5" x14ac:dyDescent="0.2">
      <c r="A55" s="4">
        <v>43235</v>
      </c>
      <c r="B55" t="s">
        <v>179</v>
      </c>
      <c r="C55" t="s">
        <v>210</v>
      </c>
      <c r="D55" s="3">
        <v>6562.47</v>
      </c>
      <c r="E55" t="s">
        <v>160</v>
      </c>
    </row>
    <row r="56" spans="1:5" x14ac:dyDescent="0.2">
      <c r="A56" s="4">
        <v>43241</v>
      </c>
      <c r="B56" t="s">
        <v>172</v>
      </c>
      <c r="C56" t="s">
        <v>211</v>
      </c>
      <c r="D56" s="3">
        <v>7495.99</v>
      </c>
      <c r="E56" t="s">
        <v>160</v>
      </c>
    </row>
    <row r="57" spans="1:5" x14ac:dyDescent="0.2">
      <c r="A57" s="4">
        <v>43241</v>
      </c>
      <c r="B57" t="s">
        <v>175</v>
      </c>
      <c r="C57" t="s">
        <v>212</v>
      </c>
      <c r="D57" s="3">
        <v>2200.2199999999998</v>
      </c>
      <c r="E57" t="s">
        <v>160</v>
      </c>
    </row>
    <row r="58" spans="1:5" x14ac:dyDescent="0.2">
      <c r="A58" s="4">
        <v>43248</v>
      </c>
      <c r="B58" t="s">
        <v>165</v>
      </c>
      <c r="C58" t="s">
        <v>213</v>
      </c>
      <c r="D58" s="3">
        <v>6652.72</v>
      </c>
      <c r="E58" t="s">
        <v>160</v>
      </c>
    </row>
    <row r="59" spans="1:5" x14ac:dyDescent="0.2">
      <c r="A59" s="4">
        <v>43255</v>
      </c>
      <c r="B59" t="s">
        <v>175</v>
      </c>
      <c r="C59" t="s">
        <v>214</v>
      </c>
      <c r="D59" s="3">
        <v>8590.81</v>
      </c>
      <c r="E59" t="s">
        <v>161</v>
      </c>
    </row>
    <row r="60" spans="1:5" x14ac:dyDescent="0.2">
      <c r="A60" s="4">
        <v>43256</v>
      </c>
      <c r="B60" t="s">
        <v>181</v>
      </c>
      <c r="C60" t="s">
        <v>215</v>
      </c>
      <c r="D60" s="3">
        <v>1335.11</v>
      </c>
      <c r="E60" t="s">
        <v>156</v>
      </c>
    </row>
    <row r="61" spans="1:5" x14ac:dyDescent="0.2">
      <c r="A61" s="4">
        <v>43262</v>
      </c>
      <c r="B61" t="s">
        <v>179</v>
      </c>
      <c r="C61" t="s">
        <v>216</v>
      </c>
      <c r="D61" s="3">
        <v>9294.2099999999991</v>
      </c>
      <c r="E61" t="s">
        <v>161</v>
      </c>
    </row>
    <row r="62" spans="1:5" x14ac:dyDescent="0.2">
      <c r="A62" s="4">
        <v>43268</v>
      </c>
      <c r="B62" t="s">
        <v>175</v>
      </c>
      <c r="C62" t="s">
        <v>217</v>
      </c>
      <c r="D62" s="3">
        <v>3622.64</v>
      </c>
      <c r="E62" t="s">
        <v>160</v>
      </c>
    </row>
    <row r="63" spans="1:5" x14ac:dyDescent="0.2">
      <c r="A63" s="4">
        <v>43273</v>
      </c>
      <c r="B63" t="s">
        <v>165</v>
      </c>
      <c r="C63" t="s">
        <v>218</v>
      </c>
      <c r="D63" s="3">
        <v>1896.05</v>
      </c>
      <c r="E63" t="s">
        <v>160</v>
      </c>
    </row>
    <row r="64" spans="1:5" x14ac:dyDescent="0.2">
      <c r="A64" s="4">
        <v>43278</v>
      </c>
      <c r="B64" t="s">
        <v>179</v>
      </c>
      <c r="C64" t="s">
        <v>219</v>
      </c>
      <c r="D64" s="3">
        <v>2573.2800000000002</v>
      </c>
      <c r="E64" t="s">
        <v>161</v>
      </c>
    </row>
    <row r="65" spans="1:5" x14ac:dyDescent="0.2">
      <c r="A65" s="4">
        <v>43284</v>
      </c>
      <c r="B65" t="s">
        <v>165</v>
      </c>
      <c r="C65" t="s">
        <v>220</v>
      </c>
      <c r="D65" s="3">
        <v>9821.91</v>
      </c>
      <c r="E65" t="s">
        <v>161</v>
      </c>
    </row>
    <row r="66" spans="1:5" x14ac:dyDescent="0.2">
      <c r="A66" s="4">
        <v>43286</v>
      </c>
      <c r="B66" t="s">
        <v>175</v>
      </c>
      <c r="C66" t="s">
        <v>221</v>
      </c>
      <c r="D66" s="3">
        <v>5938.82</v>
      </c>
      <c r="E66" t="s">
        <v>156</v>
      </c>
    </row>
    <row r="67" spans="1:5" x14ac:dyDescent="0.2">
      <c r="A67" s="4">
        <v>43288</v>
      </c>
      <c r="B67" t="s">
        <v>175</v>
      </c>
      <c r="C67" t="s">
        <v>222</v>
      </c>
      <c r="D67" s="3">
        <v>4155.59</v>
      </c>
      <c r="E67" t="s">
        <v>160</v>
      </c>
    </row>
    <row r="68" spans="1:5" x14ac:dyDescent="0.2">
      <c r="A68" s="4">
        <v>43288</v>
      </c>
      <c r="B68" t="s">
        <v>165</v>
      </c>
      <c r="C68" t="s">
        <v>223</v>
      </c>
      <c r="D68" s="3">
        <v>1467.94</v>
      </c>
      <c r="E68" t="s">
        <v>156</v>
      </c>
    </row>
    <row r="69" spans="1:5" x14ac:dyDescent="0.2">
      <c r="A69" s="4">
        <v>43291</v>
      </c>
      <c r="B69" t="s">
        <v>181</v>
      </c>
      <c r="C69" t="s">
        <v>224</v>
      </c>
      <c r="D69" s="3">
        <v>5437.81</v>
      </c>
      <c r="E69" t="s">
        <v>160</v>
      </c>
    </row>
    <row r="70" spans="1:5" x14ac:dyDescent="0.2">
      <c r="A70" s="4">
        <v>43296</v>
      </c>
      <c r="B70" t="s">
        <v>175</v>
      </c>
      <c r="C70" t="s">
        <v>225</v>
      </c>
      <c r="D70" s="3">
        <v>3668.12</v>
      </c>
      <c r="E70" t="s">
        <v>158</v>
      </c>
    </row>
    <row r="71" spans="1:5" x14ac:dyDescent="0.2">
      <c r="A71" s="4">
        <v>43300</v>
      </c>
      <c r="B71" t="s">
        <v>165</v>
      </c>
      <c r="C71" t="s">
        <v>226</v>
      </c>
      <c r="D71" s="3">
        <v>9256.93</v>
      </c>
      <c r="E71" t="s">
        <v>161</v>
      </c>
    </row>
    <row r="72" spans="1:5" x14ac:dyDescent="0.2">
      <c r="A72" s="4">
        <v>43300</v>
      </c>
      <c r="B72" t="s">
        <v>179</v>
      </c>
      <c r="C72" t="s">
        <v>227</v>
      </c>
      <c r="D72" s="3">
        <v>9101.5499999999993</v>
      </c>
      <c r="E72" t="s">
        <v>161</v>
      </c>
    </row>
    <row r="73" spans="1:5" x14ac:dyDescent="0.2">
      <c r="A73" s="4">
        <v>43300</v>
      </c>
      <c r="B73" t="s">
        <v>172</v>
      </c>
      <c r="C73" t="s">
        <v>228</v>
      </c>
      <c r="D73" s="3">
        <v>2943.9</v>
      </c>
      <c r="E73" t="s">
        <v>158</v>
      </c>
    </row>
    <row r="74" spans="1:5" x14ac:dyDescent="0.2">
      <c r="A74" s="4">
        <v>43304</v>
      </c>
      <c r="B74" t="s">
        <v>175</v>
      </c>
      <c r="C74" t="s">
        <v>229</v>
      </c>
      <c r="D74" s="3">
        <v>7492.05</v>
      </c>
      <c r="E74" t="s">
        <v>160</v>
      </c>
    </row>
    <row r="75" spans="1:5" x14ac:dyDescent="0.2">
      <c r="A75" s="4">
        <v>43306</v>
      </c>
      <c r="B75" t="s">
        <v>179</v>
      </c>
      <c r="C75" t="s">
        <v>230</v>
      </c>
      <c r="D75" s="3">
        <v>8047.96</v>
      </c>
      <c r="E75" t="s">
        <v>161</v>
      </c>
    </row>
    <row r="76" spans="1:5" x14ac:dyDescent="0.2">
      <c r="A76" s="4">
        <v>43307</v>
      </c>
      <c r="B76" t="s">
        <v>172</v>
      </c>
      <c r="C76" t="s">
        <v>231</v>
      </c>
      <c r="D76" s="3">
        <v>8721.98</v>
      </c>
      <c r="E76" t="s">
        <v>161</v>
      </c>
    </row>
    <row r="77" spans="1:5" x14ac:dyDescent="0.2">
      <c r="A77" s="4">
        <v>43307</v>
      </c>
      <c r="B77" t="s">
        <v>175</v>
      </c>
      <c r="C77" t="s">
        <v>232</v>
      </c>
      <c r="D77" s="3">
        <v>7515.48</v>
      </c>
      <c r="E77" t="s">
        <v>161</v>
      </c>
    </row>
    <row r="78" spans="1:5" x14ac:dyDescent="0.2">
      <c r="A78" s="4">
        <v>43314</v>
      </c>
      <c r="B78" t="s">
        <v>181</v>
      </c>
      <c r="C78" t="s">
        <v>233</v>
      </c>
      <c r="D78" s="3">
        <v>2732.98</v>
      </c>
      <c r="E78" t="s">
        <v>161</v>
      </c>
    </row>
    <row r="79" spans="1:5" x14ac:dyDescent="0.2">
      <c r="A79" s="4">
        <v>43319</v>
      </c>
      <c r="B79" t="s">
        <v>175</v>
      </c>
      <c r="C79" t="s">
        <v>234</v>
      </c>
      <c r="D79" s="3">
        <v>2777.81</v>
      </c>
      <c r="E79" t="s">
        <v>158</v>
      </c>
    </row>
    <row r="80" spans="1:5" x14ac:dyDescent="0.2">
      <c r="A80" s="4">
        <v>43325</v>
      </c>
      <c r="B80" t="s">
        <v>175</v>
      </c>
      <c r="C80" t="s">
        <v>235</v>
      </c>
      <c r="D80" s="3">
        <v>2886.79</v>
      </c>
      <c r="E80" t="s">
        <v>161</v>
      </c>
    </row>
    <row r="81" spans="1:5" x14ac:dyDescent="0.2">
      <c r="A81" s="4">
        <v>43330</v>
      </c>
      <c r="B81" t="s">
        <v>175</v>
      </c>
      <c r="C81" t="s">
        <v>236</v>
      </c>
      <c r="D81" s="3">
        <v>6034.68</v>
      </c>
      <c r="E81" t="s">
        <v>160</v>
      </c>
    </row>
    <row r="82" spans="1:5" x14ac:dyDescent="0.2">
      <c r="A82" s="4">
        <v>43335</v>
      </c>
      <c r="B82" t="s">
        <v>172</v>
      </c>
      <c r="C82" t="s">
        <v>237</v>
      </c>
      <c r="D82" s="3">
        <v>2127.9899999999998</v>
      </c>
      <c r="E82" t="s">
        <v>158</v>
      </c>
    </row>
    <row r="83" spans="1:5" x14ac:dyDescent="0.2">
      <c r="A83" s="4">
        <v>43337</v>
      </c>
      <c r="B83" t="s">
        <v>179</v>
      </c>
      <c r="C83" t="s">
        <v>238</v>
      </c>
      <c r="D83" s="3">
        <v>6777.73</v>
      </c>
      <c r="E83" t="s">
        <v>160</v>
      </c>
    </row>
    <row r="84" spans="1:5" x14ac:dyDescent="0.2">
      <c r="A84" s="4">
        <v>43343</v>
      </c>
      <c r="B84" t="s">
        <v>181</v>
      </c>
      <c r="C84" t="s">
        <v>239</v>
      </c>
      <c r="D84" s="3">
        <v>5795.04</v>
      </c>
      <c r="E84" t="s">
        <v>160</v>
      </c>
    </row>
    <row r="85" spans="1:5" x14ac:dyDescent="0.2">
      <c r="A85" s="4">
        <v>43343</v>
      </c>
      <c r="B85" t="s">
        <v>172</v>
      </c>
      <c r="C85" t="s">
        <v>240</v>
      </c>
      <c r="D85" s="3">
        <v>1382.35</v>
      </c>
      <c r="E85" t="s">
        <v>161</v>
      </c>
    </row>
    <row r="86" spans="1:5" x14ac:dyDescent="0.2">
      <c r="A86" s="4">
        <v>43346</v>
      </c>
      <c r="B86" t="s">
        <v>172</v>
      </c>
      <c r="C86" t="s">
        <v>241</v>
      </c>
      <c r="D86" s="3">
        <v>7627.31</v>
      </c>
      <c r="E86" t="s">
        <v>161</v>
      </c>
    </row>
    <row r="87" spans="1:5" x14ac:dyDescent="0.2">
      <c r="A87" s="4">
        <v>43349</v>
      </c>
      <c r="B87" t="s">
        <v>181</v>
      </c>
      <c r="C87" t="s">
        <v>242</v>
      </c>
      <c r="D87" s="3">
        <v>7887.39</v>
      </c>
      <c r="E87" t="s">
        <v>161</v>
      </c>
    </row>
    <row r="88" spans="1:5" x14ac:dyDescent="0.2">
      <c r="A88" s="4">
        <v>43354</v>
      </c>
      <c r="B88" t="s">
        <v>179</v>
      </c>
      <c r="C88" t="s">
        <v>243</v>
      </c>
      <c r="D88" s="3">
        <v>8423.58</v>
      </c>
      <c r="E88" t="s">
        <v>161</v>
      </c>
    </row>
    <row r="89" spans="1:5" x14ac:dyDescent="0.2">
      <c r="A89" s="4">
        <v>43357</v>
      </c>
      <c r="B89" t="s">
        <v>175</v>
      </c>
      <c r="C89" t="s">
        <v>244</v>
      </c>
      <c r="D89" s="3">
        <v>4475.91</v>
      </c>
      <c r="E89" t="s">
        <v>161</v>
      </c>
    </row>
    <row r="90" spans="1:5" x14ac:dyDescent="0.2">
      <c r="A90" s="4">
        <v>43362</v>
      </c>
      <c r="B90" t="s">
        <v>179</v>
      </c>
      <c r="C90" t="s">
        <v>245</v>
      </c>
      <c r="D90" s="3">
        <v>8445.2000000000007</v>
      </c>
      <c r="E90" t="s">
        <v>161</v>
      </c>
    </row>
    <row r="91" spans="1:5" x14ac:dyDescent="0.2">
      <c r="A91" s="4">
        <v>43362</v>
      </c>
      <c r="B91" t="s">
        <v>165</v>
      </c>
      <c r="C91" t="s">
        <v>246</v>
      </c>
      <c r="D91" s="3">
        <v>1571.85</v>
      </c>
      <c r="E91" t="s">
        <v>160</v>
      </c>
    </row>
    <row r="92" spans="1:5" x14ac:dyDescent="0.2">
      <c r="A92" s="4">
        <v>43365</v>
      </c>
      <c r="B92" t="s">
        <v>175</v>
      </c>
      <c r="C92" t="s">
        <v>247</v>
      </c>
      <c r="D92" s="3">
        <v>6757.14</v>
      </c>
      <c r="E92" t="s">
        <v>161</v>
      </c>
    </row>
    <row r="93" spans="1:5" x14ac:dyDescent="0.2">
      <c r="A93" s="4">
        <v>43372</v>
      </c>
      <c r="B93" t="s">
        <v>179</v>
      </c>
      <c r="C93" t="s">
        <v>248</v>
      </c>
      <c r="D93" s="3">
        <v>9728.19</v>
      </c>
      <c r="E93" t="s">
        <v>161</v>
      </c>
    </row>
    <row r="94" spans="1:5" x14ac:dyDescent="0.2">
      <c r="A94" s="4">
        <v>43374</v>
      </c>
      <c r="B94" t="s">
        <v>175</v>
      </c>
      <c r="C94" t="s">
        <v>249</v>
      </c>
      <c r="D94" s="3">
        <v>8914.66</v>
      </c>
      <c r="E94" t="s">
        <v>161</v>
      </c>
    </row>
    <row r="95" spans="1:5" x14ac:dyDescent="0.2">
      <c r="A95" s="4">
        <v>43374</v>
      </c>
      <c r="B95" t="s">
        <v>181</v>
      </c>
      <c r="C95" t="s">
        <v>250</v>
      </c>
      <c r="D95" s="3">
        <v>8402.76</v>
      </c>
      <c r="E95" t="s">
        <v>161</v>
      </c>
    </row>
    <row r="96" spans="1:5" x14ac:dyDescent="0.2">
      <c r="A96" s="4">
        <v>43374</v>
      </c>
      <c r="B96" t="s">
        <v>179</v>
      </c>
      <c r="C96" t="s">
        <v>251</v>
      </c>
      <c r="D96" s="3">
        <v>8141.02</v>
      </c>
      <c r="E96" t="s">
        <v>161</v>
      </c>
    </row>
    <row r="97" spans="1:5" x14ac:dyDescent="0.2">
      <c r="A97" s="4">
        <v>43376</v>
      </c>
      <c r="B97" t="s">
        <v>165</v>
      </c>
      <c r="C97" t="s">
        <v>252</v>
      </c>
      <c r="D97" s="3">
        <v>6157.45</v>
      </c>
      <c r="E97" t="s">
        <v>161</v>
      </c>
    </row>
    <row r="98" spans="1:5" x14ac:dyDescent="0.2">
      <c r="A98" s="4">
        <v>43377</v>
      </c>
      <c r="B98" t="s">
        <v>179</v>
      </c>
      <c r="C98" t="s">
        <v>253</v>
      </c>
      <c r="D98" s="3">
        <v>3045.35</v>
      </c>
      <c r="E98" t="s">
        <v>161</v>
      </c>
    </row>
    <row r="99" spans="1:5" x14ac:dyDescent="0.2">
      <c r="A99" s="4">
        <v>43379</v>
      </c>
      <c r="B99" t="s">
        <v>165</v>
      </c>
      <c r="C99" t="s">
        <v>254</v>
      </c>
      <c r="D99" s="3">
        <v>9624.93</v>
      </c>
      <c r="E99" t="s">
        <v>161</v>
      </c>
    </row>
    <row r="100" spans="1:5" x14ac:dyDescent="0.2">
      <c r="A100" s="4">
        <v>43379</v>
      </c>
      <c r="B100" t="s">
        <v>172</v>
      </c>
      <c r="C100" t="s">
        <v>255</v>
      </c>
      <c r="D100" s="3">
        <v>5361.02</v>
      </c>
      <c r="E100" t="s">
        <v>161</v>
      </c>
    </row>
    <row r="101" spans="1:5" x14ac:dyDescent="0.2">
      <c r="A101" s="4">
        <v>43384</v>
      </c>
      <c r="B101" t="s">
        <v>172</v>
      </c>
      <c r="C101" t="s">
        <v>256</v>
      </c>
      <c r="D101" s="3">
        <v>1835.15</v>
      </c>
      <c r="E101" t="s">
        <v>160</v>
      </c>
    </row>
    <row r="102" spans="1:5" x14ac:dyDescent="0.2">
      <c r="A102" s="4">
        <v>43385</v>
      </c>
      <c r="B102" t="s">
        <v>179</v>
      </c>
      <c r="C102" t="s">
        <v>257</v>
      </c>
      <c r="D102" s="3">
        <v>8877.2999999999993</v>
      </c>
      <c r="E102" t="s">
        <v>156</v>
      </c>
    </row>
    <row r="103" spans="1:5" x14ac:dyDescent="0.2">
      <c r="A103" s="4">
        <v>43387</v>
      </c>
      <c r="B103" t="s">
        <v>165</v>
      </c>
      <c r="C103" t="s">
        <v>258</v>
      </c>
      <c r="D103" s="3">
        <v>4368.2299999999996</v>
      </c>
      <c r="E103" t="s">
        <v>156</v>
      </c>
    </row>
    <row r="104" spans="1:5" x14ac:dyDescent="0.2">
      <c r="A104" s="4">
        <v>43387</v>
      </c>
      <c r="B104" t="s">
        <v>181</v>
      </c>
      <c r="C104" t="s">
        <v>259</v>
      </c>
      <c r="D104" s="3">
        <v>1081.18</v>
      </c>
      <c r="E104" t="s">
        <v>156</v>
      </c>
    </row>
    <row r="105" spans="1:5" x14ac:dyDescent="0.2">
      <c r="A105" s="4">
        <v>43394</v>
      </c>
      <c r="B105" t="s">
        <v>165</v>
      </c>
      <c r="C105" t="s">
        <v>260</v>
      </c>
      <c r="D105" s="3">
        <v>7015.07</v>
      </c>
      <c r="E105" t="s">
        <v>160</v>
      </c>
    </row>
    <row r="106" spans="1:5" x14ac:dyDescent="0.2">
      <c r="A106" s="4">
        <v>43398</v>
      </c>
      <c r="B106" t="s">
        <v>165</v>
      </c>
      <c r="C106" t="s">
        <v>261</v>
      </c>
      <c r="D106" s="3">
        <v>4702.91</v>
      </c>
      <c r="E106" t="s">
        <v>156</v>
      </c>
    </row>
    <row r="107" spans="1:5" x14ac:dyDescent="0.2">
      <c r="A107" s="4">
        <v>43400</v>
      </c>
      <c r="B107" t="s">
        <v>181</v>
      </c>
      <c r="C107" t="s">
        <v>262</v>
      </c>
      <c r="D107" s="3">
        <v>9604.24</v>
      </c>
      <c r="E107" t="s">
        <v>158</v>
      </c>
    </row>
    <row r="108" spans="1:5" x14ac:dyDescent="0.2">
      <c r="A108" s="4">
        <v>43407</v>
      </c>
      <c r="B108" t="s">
        <v>175</v>
      </c>
      <c r="C108" t="s">
        <v>263</v>
      </c>
      <c r="D108" s="3">
        <v>3288.96</v>
      </c>
      <c r="E108" t="s">
        <v>160</v>
      </c>
    </row>
    <row r="109" spans="1:5" x14ac:dyDescent="0.2">
      <c r="A109" s="4">
        <v>43411</v>
      </c>
      <c r="B109" t="s">
        <v>181</v>
      </c>
      <c r="C109" t="s">
        <v>264</v>
      </c>
      <c r="D109" s="3">
        <v>2100.09</v>
      </c>
      <c r="E109" t="s">
        <v>161</v>
      </c>
    </row>
    <row r="110" spans="1:5" x14ac:dyDescent="0.2">
      <c r="A110" s="4">
        <v>43413</v>
      </c>
      <c r="B110" t="s">
        <v>181</v>
      </c>
      <c r="C110" t="s">
        <v>265</v>
      </c>
      <c r="D110" s="3">
        <v>4496.82</v>
      </c>
      <c r="E110" t="s">
        <v>160</v>
      </c>
    </row>
    <row r="111" spans="1:5" x14ac:dyDescent="0.2">
      <c r="A111" s="4">
        <v>43419</v>
      </c>
      <c r="B111" t="s">
        <v>165</v>
      </c>
      <c r="C111" t="s">
        <v>266</v>
      </c>
      <c r="D111" s="3">
        <v>6779.98</v>
      </c>
      <c r="E111" t="s">
        <v>160</v>
      </c>
    </row>
    <row r="112" spans="1:5" x14ac:dyDescent="0.2">
      <c r="A112" s="4">
        <v>43419</v>
      </c>
      <c r="B112" t="s">
        <v>165</v>
      </c>
      <c r="C112" t="s">
        <v>267</v>
      </c>
      <c r="D112" s="3">
        <v>4399.83</v>
      </c>
      <c r="E112" t="s">
        <v>160</v>
      </c>
    </row>
    <row r="113" spans="1:5" x14ac:dyDescent="0.2">
      <c r="A113" s="4">
        <v>43423</v>
      </c>
      <c r="B113" t="s">
        <v>172</v>
      </c>
      <c r="C113" t="s">
        <v>268</v>
      </c>
      <c r="D113" s="3">
        <v>4703.58</v>
      </c>
      <c r="E113" t="s">
        <v>160</v>
      </c>
    </row>
    <row r="114" spans="1:5" x14ac:dyDescent="0.2">
      <c r="A114" s="4">
        <v>43423</v>
      </c>
      <c r="B114" t="s">
        <v>179</v>
      </c>
      <c r="C114" t="s">
        <v>269</v>
      </c>
      <c r="D114" s="3">
        <v>1386.78</v>
      </c>
      <c r="E114" t="s">
        <v>160</v>
      </c>
    </row>
    <row r="115" spans="1:5" x14ac:dyDescent="0.2">
      <c r="A115" s="4">
        <v>43427</v>
      </c>
      <c r="B115" t="s">
        <v>181</v>
      </c>
      <c r="C115" t="s">
        <v>270</v>
      </c>
      <c r="D115" s="3">
        <v>4147.2299999999996</v>
      </c>
      <c r="E115" t="s">
        <v>160</v>
      </c>
    </row>
    <row r="116" spans="1:5" x14ac:dyDescent="0.2">
      <c r="A116" s="4">
        <v>43432</v>
      </c>
      <c r="B116" t="s">
        <v>175</v>
      </c>
      <c r="C116" t="s">
        <v>271</v>
      </c>
      <c r="D116" s="3">
        <v>5353.04</v>
      </c>
      <c r="E116" t="s">
        <v>161</v>
      </c>
    </row>
    <row r="117" spans="1:5" x14ac:dyDescent="0.2">
      <c r="A117" s="4">
        <v>43434</v>
      </c>
      <c r="B117" t="s">
        <v>181</v>
      </c>
      <c r="C117" t="s">
        <v>272</v>
      </c>
      <c r="D117" s="3">
        <v>2068.0700000000002</v>
      </c>
      <c r="E117" t="s">
        <v>160</v>
      </c>
    </row>
    <row r="118" spans="1:5" x14ac:dyDescent="0.2">
      <c r="A118" s="4">
        <v>43435</v>
      </c>
      <c r="B118" t="s">
        <v>165</v>
      </c>
      <c r="C118" t="s">
        <v>273</v>
      </c>
      <c r="D118" s="3">
        <v>9870.9</v>
      </c>
      <c r="E118" t="s">
        <v>161</v>
      </c>
    </row>
    <row r="119" spans="1:5" x14ac:dyDescent="0.2">
      <c r="A119" s="4">
        <v>43441</v>
      </c>
      <c r="B119" t="s">
        <v>172</v>
      </c>
      <c r="C119" t="s">
        <v>274</v>
      </c>
      <c r="D119" s="3">
        <v>1874.45</v>
      </c>
      <c r="E119" t="s">
        <v>158</v>
      </c>
    </row>
    <row r="120" spans="1:5" x14ac:dyDescent="0.2">
      <c r="A120" s="4">
        <v>43447</v>
      </c>
      <c r="B120" t="s">
        <v>175</v>
      </c>
      <c r="C120" t="s">
        <v>275</v>
      </c>
      <c r="D120" s="3">
        <v>4460.58</v>
      </c>
      <c r="E120" t="s">
        <v>161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76280-9DB6-44E0-8617-F77C24E201A8}">
  <dimension ref="A1:J39"/>
  <sheetViews>
    <sheetView zoomScale="130" zoomScaleNormal="130" workbookViewId="0"/>
  </sheetViews>
  <sheetFormatPr defaultColWidth="8" defaultRowHeight="14.25" outlineLevelRow="1" x14ac:dyDescent="0.2"/>
  <cols>
    <col min="2" max="2" width="8" customWidth="1"/>
    <col min="3" max="3" width="17.25" customWidth="1"/>
    <col min="4" max="4" width="9.5" customWidth="1"/>
    <col min="5" max="13" width="8" customWidth="1"/>
  </cols>
  <sheetData>
    <row r="1" spans="1:10" x14ac:dyDescent="0.2">
      <c r="A1" s="1"/>
    </row>
    <row r="2" spans="1:10" ht="15.75" x14ac:dyDescent="0.3">
      <c r="B2" s="8" t="s">
        <v>120</v>
      </c>
      <c r="C2" s="8"/>
      <c r="D2" s="8"/>
      <c r="E2" s="8"/>
      <c r="F2" s="8"/>
      <c r="G2" s="8"/>
      <c r="H2" s="8"/>
      <c r="I2" s="8"/>
      <c r="J2" s="8"/>
    </row>
    <row r="3" spans="1:10" ht="15.75" x14ac:dyDescent="0.3">
      <c r="B3" s="8" t="s">
        <v>121</v>
      </c>
      <c r="C3" s="8"/>
      <c r="D3" s="8"/>
      <c r="E3" s="8"/>
      <c r="F3" s="8"/>
      <c r="G3" s="8"/>
      <c r="H3" s="8"/>
      <c r="I3" s="8"/>
      <c r="J3" s="8"/>
    </row>
    <row r="5" spans="1:10" ht="15.75" x14ac:dyDescent="0.3">
      <c r="B5" s="8" t="s">
        <v>122</v>
      </c>
      <c r="C5" s="8"/>
      <c r="D5" s="8"/>
      <c r="E5" s="8"/>
      <c r="F5" s="8"/>
      <c r="G5" s="8"/>
      <c r="H5" s="8"/>
      <c r="I5" s="8"/>
      <c r="J5" s="8"/>
    </row>
    <row r="6" spans="1:10" ht="16.5" thickBot="1" x14ac:dyDescent="0.35">
      <c r="B6" s="8"/>
      <c r="C6" s="8"/>
      <c r="D6" s="8"/>
      <c r="E6" s="8"/>
      <c r="F6" s="8"/>
      <c r="G6" s="8"/>
      <c r="H6" s="8"/>
      <c r="I6" s="8"/>
      <c r="J6" s="8"/>
    </row>
    <row r="7" spans="1:10" ht="15.75" x14ac:dyDescent="0.3">
      <c r="B7" s="23"/>
      <c r="C7" s="24" t="s">
        <v>123</v>
      </c>
      <c r="D7" s="25">
        <v>0.15</v>
      </c>
      <c r="E7" s="26"/>
      <c r="F7" s="26"/>
      <c r="G7" s="26"/>
      <c r="H7" s="26"/>
      <c r="I7" s="26"/>
      <c r="J7" s="27"/>
    </row>
    <row r="8" spans="1:10" ht="15.75" x14ac:dyDescent="0.3">
      <c r="B8" s="28"/>
      <c r="C8" s="29" t="s">
        <v>124</v>
      </c>
      <c r="D8" s="30">
        <v>0.1</v>
      </c>
      <c r="E8" s="8"/>
      <c r="F8" s="8"/>
      <c r="G8" s="8"/>
      <c r="H8" s="8"/>
      <c r="I8" s="8"/>
      <c r="J8" s="31"/>
    </row>
    <row r="9" spans="1:10" ht="15.75" x14ac:dyDescent="0.3">
      <c r="B9" s="28"/>
      <c r="C9" s="32" t="s">
        <v>62</v>
      </c>
      <c r="D9" s="61" t="s">
        <v>125</v>
      </c>
      <c r="E9" s="61"/>
      <c r="F9" s="61"/>
      <c r="G9" s="61"/>
      <c r="H9" s="61"/>
      <c r="I9" s="8"/>
      <c r="J9" s="31"/>
    </row>
    <row r="10" spans="1:10" ht="15.75" x14ac:dyDescent="0.3">
      <c r="B10" s="28"/>
      <c r="C10" s="8"/>
      <c r="D10" s="32">
        <v>1</v>
      </c>
      <c r="E10" s="32">
        <v>2</v>
      </c>
      <c r="F10" s="32">
        <v>3</v>
      </c>
      <c r="G10" s="32">
        <v>4</v>
      </c>
      <c r="H10" s="32">
        <v>5</v>
      </c>
      <c r="I10" s="8"/>
      <c r="J10" s="31"/>
    </row>
    <row r="11" spans="1:10" ht="15.75" x14ac:dyDescent="0.3">
      <c r="B11" s="28"/>
      <c r="C11" s="8" t="s">
        <v>126</v>
      </c>
      <c r="D11" s="33">
        <v>-45000</v>
      </c>
      <c r="E11" s="8"/>
      <c r="F11" s="8"/>
      <c r="G11" s="8"/>
      <c r="H11" s="8"/>
      <c r="I11" s="8"/>
      <c r="J11" s="31"/>
    </row>
    <row r="12" spans="1:10" ht="15.75" x14ac:dyDescent="0.3">
      <c r="B12" s="28"/>
      <c r="C12" s="8" t="s">
        <v>127</v>
      </c>
      <c r="D12" s="8"/>
      <c r="E12" s="8"/>
      <c r="F12" s="8"/>
      <c r="G12" s="8"/>
      <c r="H12" s="33">
        <v>10000</v>
      </c>
      <c r="I12" s="8"/>
      <c r="J12" s="31"/>
    </row>
    <row r="13" spans="1:10" ht="15.75" x14ac:dyDescent="0.3">
      <c r="B13" s="28"/>
      <c r="C13" s="8" t="s">
        <v>128</v>
      </c>
      <c r="D13" s="8"/>
      <c r="E13" s="33">
        <v>-1000</v>
      </c>
      <c r="F13" s="8"/>
      <c r="G13" s="33">
        <v>-2000</v>
      </c>
      <c r="H13" s="8"/>
      <c r="I13" s="8"/>
      <c r="J13" s="31"/>
    </row>
    <row r="14" spans="1:10" ht="15.75" x14ac:dyDescent="0.3">
      <c r="B14" s="28"/>
      <c r="C14" s="8" t="s">
        <v>129</v>
      </c>
      <c r="D14" s="8"/>
      <c r="E14" s="33">
        <v>10000</v>
      </c>
      <c r="F14" s="34">
        <f>E14*(1+Growth)</f>
        <v>11500</v>
      </c>
      <c r="G14" s="34">
        <f>F14*(1+Growth)</f>
        <v>13224.999999999998</v>
      </c>
      <c r="H14" s="34">
        <f>G14*(1+Growth)</f>
        <v>15208.749999999996</v>
      </c>
      <c r="I14" s="8"/>
      <c r="J14" s="31"/>
    </row>
    <row r="15" spans="1:10" ht="15.75" x14ac:dyDescent="0.3">
      <c r="B15" s="28"/>
      <c r="C15" s="8"/>
      <c r="D15" s="8"/>
      <c r="E15" s="8"/>
      <c r="F15" s="8"/>
      <c r="G15" s="8"/>
      <c r="H15" s="8"/>
      <c r="I15" s="8"/>
      <c r="J15" s="31"/>
    </row>
    <row r="16" spans="1:10" ht="15.75" x14ac:dyDescent="0.3">
      <c r="B16" s="28"/>
      <c r="C16" s="8" t="s">
        <v>130</v>
      </c>
      <c r="D16" s="35">
        <f>SUM(D11:D14)</f>
        <v>-45000</v>
      </c>
      <c r="E16" s="35">
        <f>SUM(E11:E14)</f>
        <v>9000</v>
      </c>
      <c r="F16" s="35">
        <f>SUM(F11:F14)</f>
        <v>11500</v>
      </c>
      <c r="G16" s="35">
        <f>SUM(G11:G14)</f>
        <v>11224.999999999998</v>
      </c>
      <c r="H16" s="35">
        <f>SUM(H11:H14)</f>
        <v>25208.749999999996</v>
      </c>
      <c r="I16" s="8"/>
      <c r="J16" s="31"/>
    </row>
    <row r="17" spans="1:10" ht="15.75" x14ac:dyDescent="0.3">
      <c r="A17" s="8"/>
      <c r="B17" s="28"/>
      <c r="C17" s="8"/>
      <c r="D17" s="36"/>
      <c r="E17" s="36"/>
      <c r="F17" s="36"/>
      <c r="G17" s="36"/>
      <c r="H17" s="36"/>
      <c r="I17" s="8"/>
      <c r="J17" s="31"/>
    </row>
    <row r="18" spans="1:10" ht="15.75" x14ac:dyDescent="0.3">
      <c r="A18" s="8"/>
      <c r="B18" s="28"/>
      <c r="C18" s="8" t="s">
        <v>131</v>
      </c>
      <c r="D18" s="62">
        <f>D16+NPV(Discount,E16:H16)</f>
        <v>-1662.62550372244</v>
      </c>
      <c r="E18" s="8"/>
      <c r="F18" s="8"/>
      <c r="G18" s="8"/>
      <c r="H18" s="8"/>
      <c r="I18" s="8"/>
      <c r="J18" s="31"/>
    </row>
    <row r="19" spans="1:10" ht="16.5" thickBot="1" x14ac:dyDescent="0.35">
      <c r="A19" s="8"/>
      <c r="B19" s="37"/>
      <c r="C19" s="38"/>
      <c r="D19" s="38"/>
      <c r="E19" s="38"/>
      <c r="F19" s="38"/>
      <c r="G19" s="38"/>
      <c r="H19" s="38"/>
      <c r="I19" s="38"/>
      <c r="J19" s="39"/>
    </row>
    <row r="20" spans="1:10" ht="15.75" x14ac:dyDescent="0.3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5.75" x14ac:dyDescent="0.3">
      <c r="A21" s="8"/>
      <c r="B21" s="8" t="s">
        <v>132</v>
      </c>
      <c r="C21" s="8"/>
      <c r="D21" s="8"/>
      <c r="E21" s="8"/>
      <c r="F21" s="8"/>
      <c r="G21" s="8"/>
      <c r="H21" s="8"/>
      <c r="I21" s="8"/>
      <c r="J21" s="8"/>
    </row>
    <row r="22" spans="1:10" ht="15.75" x14ac:dyDescent="0.3">
      <c r="A22" s="8"/>
      <c r="B22" s="8"/>
      <c r="C22" s="8" t="s">
        <v>133</v>
      </c>
      <c r="D22" s="8"/>
      <c r="E22" s="8"/>
      <c r="F22" s="8"/>
      <c r="G22" s="8"/>
      <c r="H22" s="8"/>
      <c r="I22" s="8"/>
      <c r="J22" s="8"/>
    </row>
    <row r="23" spans="1:10" ht="15.75" x14ac:dyDescent="0.3">
      <c r="A23" s="8"/>
      <c r="B23" s="8"/>
      <c r="C23" s="8" t="s">
        <v>134</v>
      </c>
      <c r="D23" s="8"/>
      <c r="E23" s="8"/>
      <c r="F23" s="8"/>
      <c r="G23" s="8"/>
      <c r="H23" s="8"/>
      <c r="I23" s="8"/>
      <c r="J23" s="8"/>
    </row>
    <row r="24" spans="1:10" ht="15.75" x14ac:dyDescent="0.3">
      <c r="A24" s="8"/>
      <c r="B24" s="8"/>
      <c r="C24" s="8" t="s">
        <v>135</v>
      </c>
      <c r="D24" s="8"/>
      <c r="E24" s="8"/>
      <c r="F24" s="8"/>
      <c r="G24" s="8"/>
      <c r="H24" s="8"/>
      <c r="I24" s="8"/>
      <c r="J24" s="8"/>
    </row>
    <row r="25" spans="1:10" ht="15.75" x14ac:dyDescent="0.3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5.75" x14ac:dyDescent="0.3">
      <c r="A26" s="8"/>
      <c r="B26" s="8" t="s">
        <v>136</v>
      </c>
      <c r="C26" s="8"/>
      <c r="D26" s="8"/>
      <c r="E26" s="8"/>
      <c r="F26" s="8"/>
      <c r="G26" s="8"/>
      <c r="H26" s="8"/>
      <c r="I26" s="8"/>
      <c r="J26" s="8"/>
    </row>
    <row r="28" spans="1:10" ht="15.75" x14ac:dyDescent="0.3">
      <c r="A28" s="8"/>
      <c r="B28" s="8">
        <v>1</v>
      </c>
      <c r="C28" s="8" t="s">
        <v>137</v>
      </c>
      <c r="D28" s="8"/>
      <c r="E28" s="8"/>
      <c r="F28" s="8"/>
      <c r="G28" s="8"/>
      <c r="H28" s="8"/>
      <c r="I28" s="8"/>
      <c r="J28" s="8"/>
    </row>
    <row r="29" spans="1:10" ht="15.75" x14ac:dyDescent="0.3">
      <c r="A29" s="8"/>
      <c r="B29" s="8">
        <v>2</v>
      </c>
      <c r="C29" s="8" t="s">
        <v>138</v>
      </c>
      <c r="D29" s="8"/>
      <c r="E29" s="8"/>
      <c r="F29" s="8"/>
      <c r="G29" s="8"/>
      <c r="H29" s="8"/>
      <c r="I29" s="8"/>
      <c r="J29" s="8"/>
    </row>
    <row r="30" spans="1:10" ht="15.75" x14ac:dyDescent="0.3">
      <c r="A30" s="8"/>
      <c r="B30" s="8">
        <v>3</v>
      </c>
      <c r="C30" s="8" t="s">
        <v>139</v>
      </c>
      <c r="D30" s="8"/>
      <c r="E30" s="8"/>
      <c r="F30" s="8"/>
      <c r="G30" s="8"/>
      <c r="H30" s="8"/>
      <c r="I30" s="8"/>
      <c r="J30" s="8"/>
    </row>
    <row r="31" spans="1:10" ht="15.75" x14ac:dyDescent="0.3">
      <c r="A31" s="8"/>
      <c r="B31" s="8">
        <v>4</v>
      </c>
      <c r="C31" s="8" t="s">
        <v>140</v>
      </c>
      <c r="D31" s="8"/>
      <c r="E31" s="8"/>
      <c r="F31" s="8"/>
      <c r="G31" s="8"/>
      <c r="H31" s="8"/>
      <c r="I31" s="8"/>
      <c r="J31" s="8"/>
    </row>
    <row r="33" spans="1:2" ht="15.75" x14ac:dyDescent="0.3">
      <c r="A33" s="40" t="s">
        <v>141</v>
      </c>
      <c r="B33" s="8"/>
    </row>
    <row r="34" spans="1:2" ht="15.75" hidden="1" outlineLevel="1" x14ac:dyDescent="0.3">
      <c r="A34" s="8">
        <v>1</v>
      </c>
      <c r="B34" s="41">
        <v>4.5865575929738639E-2</v>
      </c>
    </row>
    <row r="35" spans="1:2" ht="15.75" hidden="1" outlineLevel="1" x14ac:dyDescent="0.3">
      <c r="A35" s="8">
        <v>2</v>
      </c>
      <c r="B35" s="41">
        <v>0.21689397169106742</v>
      </c>
    </row>
    <row r="36" spans="1:2" ht="15.75" hidden="1" outlineLevel="1" x14ac:dyDescent="0.3">
      <c r="A36" s="8">
        <v>3</v>
      </c>
      <c r="B36" s="34">
        <v>-43337.37449627756</v>
      </c>
    </row>
    <row r="37" spans="1:2" ht="15.75" hidden="1" outlineLevel="1" x14ac:dyDescent="0.3">
      <c r="A37" s="8">
        <v>4</v>
      </c>
      <c r="B37" s="34">
        <v>9142.4810793024117</v>
      </c>
    </row>
    <row r="38" spans="1:2" ht="15.75" collapsed="1" x14ac:dyDescent="0.3">
      <c r="A38" s="8"/>
      <c r="B38" s="8"/>
    </row>
    <row r="39" spans="1:2" ht="15.75" x14ac:dyDescent="0.3">
      <c r="A39" s="8"/>
      <c r="B39" s="8"/>
    </row>
  </sheetData>
  <mergeCells count="1">
    <mergeCell ref="D9:H9"/>
  </mergeCells>
  <pageMargins left="0.7" right="0.7" top="0.75" bottom="0.75" header="0.3" footer="0.3"/>
  <pageSetup paperSize="9" orientation="portrait" r:id="rId1"/>
  <headerFooter>
    <oddFooter>&amp;L&amp;"Times New Roman"&amp;07C:\Documents and Settings\LYFORD\Desktop\Excel knowledge sharing v2.xlsx[&amp;A]&amp;R&amp;"Times New Roman"&amp;07&amp;T 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897AF-BFE5-420B-925D-BCA7A88B2B70}">
  <dimension ref="A1:M31"/>
  <sheetViews>
    <sheetView zoomScale="150" zoomScaleNormal="150" workbookViewId="0"/>
  </sheetViews>
  <sheetFormatPr defaultRowHeight="14.25" x14ac:dyDescent="0.2"/>
  <cols>
    <col min="2" max="2" width="24.875" customWidth="1"/>
  </cols>
  <sheetData>
    <row r="1" spans="1:13" x14ac:dyDescent="0.2">
      <c r="A1" s="1"/>
    </row>
    <row r="2" spans="1:13" x14ac:dyDescent="0.2">
      <c r="B2" t="s">
        <v>142</v>
      </c>
    </row>
    <row r="3" spans="1:13" x14ac:dyDescent="0.2">
      <c r="B3" t="s">
        <v>143</v>
      </c>
    </row>
    <row r="4" spans="1:13" x14ac:dyDescent="0.2">
      <c r="B4" t="s">
        <v>144</v>
      </c>
    </row>
    <row r="6" spans="1:13" x14ac:dyDescent="0.2">
      <c r="B6" t="s">
        <v>115</v>
      </c>
      <c r="C6" s="19">
        <v>132000</v>
      </c>
    </row>
    <row r="7" spans="1:13" x14ac:dyDescent="0.2">
      <c r="B7" t="s">
        <v>116</v>
      </c>
      <c r="C7" s="20">
        <v>2000</v>
      </c>
    </row>
    <row r="8" spans="1:13" x14ac:dyDescent="0.2">
      <c r="B8" t="s">
        <v>117</v>
      </c>
      <c r="C8" s="21">
        <v>2.1899999999999999E-2</v>
      </c>
    </row>
    <row r="9" spans="1:13" x14ac:dyDescent="0.2">
      <c r="B9" t="s">
        <v>118</v>
      </c>
      <c r="C9" s="22">
        <f>NPER(C8/12,-C7,C6)</f>
        <v>70.390106869849674</v>
      </c>
    </row>
    <row r="10" spans="1:13" x14ac:dyDescent="0.2">
      <c r="B10" t="s">
        <v>119</v>
      </c>
      <c r="C10" s="19">
        <f>C7*C9-C6</f>
        <v>8780.2137396993348</v>
      </c>
    </row>
    <row r="12" spans="1:13" ht="15" x14ac:dyDescent="0.25">
      <c r="B12" t="s">
        <v>145</v>
      </c>
    </row>
    <row r="14" spans="1:13" ht="15" x14ac:dyDescent="0.25">
      <c r="B14" s="2" t="s">
        <v>146</v>
      </c>
      <c r="F14" s="2" t="s">
        <v>147</v>
      </c>
    </row>
    <row r="15" spans="1:13" ht="15" thickBot="1" x14ac:dyDescent="0.25"/>
    <row r="16" spans="1:13" x14ac:dyDescent="0.2">
      <c r="B16" s="42"/>
      <c r="C16" s="43">
        <f>C9</f>
        <v>70.390106869849674</v>
      </c>
      <c r="D16" s="22"/>
      <c r="E16" s="22"/>
      <c r="F16" s="44">
        <f>C9</f>
        <v>70.390106869849674</v>
      </c>
      <c r="G16" s="45">
        <v>500</v>
      </c>
      <c r="H16" s="45">
        <v>1000</v>
      </c>
      <c r="I16" s="45">
        <v>1250</v>
      </c>
      <c r="J16" s="45">
        <v>1800</v>
      </c>
      <c r="K16" s="45">
        <v>2000</v>
      </c>
      <c r="L16" s="45">
        <v>2500</v>
      </c>
      <c r="M16" s="46">
        <v>3000</v>
      </c>
    </row>
    <row r="17" spans="2:13" x14ac:dyDescent="0.2">
      <c r="B17" s="47">
        <v>1.4500000000000001E-2</v>
      </c>
      <c r="C17" s="48"/>
      <c r="F17" s="47">
        <v>1.4500000000000001E-2</v>
      </c>
      <c r="G17" s="49"/>
      <c r="H17" s="49"/>
      <c r="I17" s="49"/>
      <c r="J17" s="49"/>
      <c r="K17" s="49"/>
      <c r="L17" s="49"/>
      <c r="M17" s="48"/>
    </row>
    <row r="18" spans="2:13" x14ac:dyDescent="0.2">
      <c r="B18" s="47">
        <v>1.6E-2</v>
      </c>
      <c r="C18" s="48"/>
      <c r="F18" s="47">
        <v>1.6E-2</v>
      </c>
      <c r="G18" s="49"/>
      <c r="H18" s="49"/>
      <c r="I18" s="49"/>
      <c r="J18" s="49"/>
      <c r="K18" s="49"/>
      <c r="L18" s="49"/>
      <c r="M18" s="48"/>
    </row>
    <row r="19" spans="2:13" x14ac:dyDescent="0.2">
      <c r="B19" s="47">
        <v>1.7500000000000002E-2</v>
      </c>
      <c r="C19" s="48"/>
      <c r="F19" s="47">
        <v>1.7500000000000002E-2</v>
      </c>
      <c r="G19" s="49"/>
      <c r="H19" s="49"/>
      <c r="I19" s="49"/>
      <c r="J19" s="49"/>
      <c r="K19" s="49"/>
      <c r="L19" s="49"/>
      <c r="M19" s="48"/>
    </row>
    <row r="20" spans="2:13" x14ac:dyDescent="0.2">
      <c r="B20" s="47">
        <v>1.9E-2</v>
      </c>
      <c r="C20" s="48"/>
      <c r="F20" s="47">
        <v>1.9E-2</v>
      </c>
      <c r="G20" s="49"/>
      <c r="H20" s="49"/>
      <c r="I20" s="49"/>
      <c r="J20" s="49"/>
      <c r="K20" s="49"/>
      <c r="L20" s="49"/>
      <c r="M20" s="48"/>
    </row>
    <row r="21" spans="2:13" x14ac:dyDescent="0.2">
      <c r="B21" s="47">
        <v>2.0500000000000001E-2</v>
      </c>
      <c r="C21" s="48"/>
      <c r="F21" s="47">
        <v>2.0500000000000001E-2</v>
      </c>
      <c r="G21" s="49"/>
      <c r="H21" s="49"/>
      <c r="I21" s="49"/>
      <c r="J21" s="49"/>
      <c r="K21" s="49"/>
      <c r="L21" s="49"/>
      <c r="M21" s="48"/>
    </row>
    <row r="22" spans="2:13" x14ac:dyDescent="0.2">
      <c r="B22" s="47">
        <v>2.1999999999999999E-2</v>
      </c>
      <c r="C22" s="48"/>
      <c r="F22" s="47">
        <v>2.1999999999999999E-2</v>
      </c>
      <c r="G22" s="49"/>
      <c r="H22" s="49"/>
      <c r="I22" s="49"/>
      <c r="J22" s="49"/>
      <c r="K22" s="49"/>
      <c r="L22" s="49"/>
      <c r="M22" s="48"/>
    </row>
    <row r="23" spans="2:13" x14ac:dyDescent="0.2">
      <c r="B23" s="47">
        <v>2.35E-2</v>
      </c>
      <c r="C23" s="48"/>
      <c r="F23" s="47">
        <v>2.35E-2</v>
      </c>
      <c r="G23" s="49"/>
      <c r="H23" s="49"/>
      <c r="I23" s="49"/>
      <c r="J23" s="49"/>
      <c r="K23" s="49"/>
      <c r="L23" s="49"/>
      <c r="M23" s="48"/>
    </row>
    <row r="24" spans="2:13" x14ac:dyDescent="0.2">
      <c r="B24" s="47">
        <v>2.5000000000000001E-2</v>
      </c>
      <c r="C24" s="48"/>
      <c r="F24" s="47">
        <v>2.5000000000000001E-2</v>
      </c>
      <c r="G24" s="49"/>
      <c r="H24" s="49"/>
      <c r="I24" s="49"/>
      <c r="J24" s="49"/>
      <c r="K24" s="49"/>
      <c r="L24" s="49"/>
      <c r="M24" s="48"/>
    </row>
    <row r="25" spans="2:13" x14ac:dyDescent="0.2">
      <c r="B25" s="47">
        <v>2.6499999999999999E-2</v>
      </c>
      <c r="C25" s="48"/>
      <c r="F25" s="47">
        <v>2.6499999999999999E-2</v>
      </c>
      <c r="G25" s="49"/>
      <c r="H25" s="49"/>
      <c r="I25" s="49"/>
      <c r="J25" s="49"/>
      <c r="K25" s="49"/>
      <c r="L25" s="49"/>
      <c r="M25" s="48"/>
    </row>
    <row r="26" spans="2:13" x14ac:dyDescent="0.2">
      <c r="B26" s="47">
        <v>2.8000000000000001E-2</v>
      </c>
      <c r="C26" s="48"/>
      <c r="F26" s="47">
        <v>2.8000000000000001E-2</v>
      </c>
      <c r="G26" s="49"/>
      <c r="H26" s="49"/>
      <c r="I26" s="49"/>
      <c r="J26" s="49"/>
      <c r="K26" s="49"/>
      <c r="L26" s="49"/>
      <c r="M26" s="48"/>
    </row>
    <row r="27" spans="2:13" ht="15" thickBot="1" x14ac:dyDescent="0.25">
      <c r="B27" s="50">
        <v>2.9499999999999998E-2</v>
      </c>
      <c r="C27" s="51"/>
      <c r="F27" s="50">
        <v>2.9499999999999998E-2</v>
      </c>
      <c r="G27" s="52"/>
      <c r="H27" s="52"/>
      <c r="I27" s="52"/>
      <c r="J27" s="52"/>
      <c r="K27" s="52"/>
      <c r="L27" s="52"/>
      <c r="M27" s="51"/>
    </row>
    <row r="29" spans="2:13" x14ac:dyDescent="0.2">
      <c r="B29" t="s">
        <v>148</v>
      </c>
    </row>
    <row r="30" spans="2:13" x14ac:dyDescent="0.2">
      <c r="B30" t="s">
        <v>149</v>
      </c>
    </row>
    <row r="31" spans="2:13" x14ac:dyDescent="0.2">
      <c r="B31" t="s">
        <v>150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20CF36617A99546ABD981ECDFAB9DD5" ma:contentTypeVersion="11" ma:contentTypeDescription="Create a new document." ma:contentTypeScope="" ma:versionID="c75508d9fb7835ec6b00cb551d3e5e68">
  <xsd:schema xmlns:xsd="http://www.w3.org/2001/XMLSchema" xmlns:xs="http://www.w3.org/2001/XMLSchema" xmlns:p="http://schemas.microsoft.com/office/2006/metadata/properties" xmlns:ns2="104e1703-f198-4744-b1ec-cdd3f8b9e58b" xmlns:ns3="71605d3f-cb7f-40e7-8e00-fb1d7d2d0757" targetNamespace="http://schemas.microsoft.com/office/2006/metadata/properties" ma:root="true" ma:fieldsID="2f6cdee5355c10af100639318aa3870c" ns2:_="" ns3:_="">
    <xsd:import namespace="104e1703-f198-4744-b1ec-cdd3f8b9e58b"/>
    <xsd:import namespace="71605d3f-cb7f-40e7-8e00-fb1d7d2d07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4e1703-f198-4744-b1ec-cdd3f8b9e5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605d3f-cb7f-40e7-8e00-fb1d7d2d075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BB629EE-9F75-4B1B-A63F-1E8751E26FC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9E6C5FF-A052-4FEC-8259-486936106A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8DB4B5B-264B-4E8B-839F-11E6316EEDC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Tables</vt:lpstr>
      <vt:lpstr>Cell styles</vt:lpstr>
      <vt:lpstr>Lookup functions</vt:lpstr>
      <vt:lpstr>Conditional formatting</vt:lpstr>
      <vt:lpstr>Loan calculations</vt:lpstr>
      <vt:lpstr>Advanced Filter &amp; database fns</vt:lpstr>
      <vt:lpstr>Goal seek</vt:lpstr>
      <vt:lpstr>Data tables</vt:lpstr>
      <vt:lpstr>Discount</vt:lpstr>
      <vt:lpstr>Growth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Lyford-Smith</dc:creator>
  <cp:lastModifiedBy>David</cp:lastModifiedBy>
  <dcterms:created xsi:type="dcterms:W3CDTF">2020-04-22T13:06:02Z</dcterms:created>
  <dcterms:modified xsi:type="dcterms:W3CDTF">2020-05-20T09:06:37Z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0x010100520CF36617A99546ABD981ECDFAB9DD5</vt:lpwstr>
  </property>
</Properties>
</file>