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202300"/>
  <mc:AlternateContent xmlns:mc="http://schemas.openxmlformats.org/markup-compatibility/2006">
    <mc:Choice Requires="x15">
      <x15ac:absPath xmlns:x15ac="http://schemas.microsoft.com/office/spreadsheetml/2010/11/ac" url="https://modellingexpert-my.sharepoint.com/personal/ben_ducker_modellingexpert_co_uk/Documents/Documents/Marketing/ICAEW Promotional/Webinars/2026 03 25 - Old School vs New School/"/>
    </mc:Choice>
  </mc:AlternateContent>
  <xr:revisionPtr revIDLastSave="62" documentId="8_{6CBB368D-BD96-4A41-9E37-370D3066FB31}" xr6:coauthVersionLast="47" xr6:coauthVersionMax="47" xr10:uidLastSave="{577D19B8-BE43-44C3-BFB4-9011DBC9444B}"/>
  <bookViews>
    <workbookView xWindow="-110" yWindow="-110" windowWidth="77020" windowHeight="21100" tabRatio="863" xr2:uid="{2CCFDC39-2022-48D6-8135-D2113B690F3E}"/>
  </bookViews>
  <sheets>
    <sheet name="0. Agenda" sheetId="7" r:id="rId1"/>
    <sheet name="1.1 Splitting Text" sheetId="1" r:id="rId2"/>
    <sheet name="1.2 Splitting Text (cont)" sheetId="15" r:id="rId3"/>
    <sheet name="1.3 Splitting Text (cont)" sheetId="14" r:id="rId4"/>
    <sheet name="2. Joining Text" sheetId="2" r:id="rId5"/>
    <sheet name="3. Lookup" sheetId="8" r:id="rId6"/>
    <sheet name="4. Unique List" sheetId="5" r:id="rId7"/>
    <sheet name="5. Filtering" sheetId="4" r:id="rId8"/>
    <sheet name="6. Top N" sheetId="3" r:id="rId9"/>
    <sheet name="7.1 Report Aggregates" sheetId="17" r:id="rId10"/>
    <sheet name="7.2 Report Aggregates (cont)" sheetId="18" r:id="rId11"/>
    <sheet name="8. Nested IF" sheetId="9" r:id="rId12"/>
    <sheet name="9. Reusing Variables" sheetId="10" r:id="rId13"/>
    <sheet name="Conclusion" sheetId="12" r:id="rId14"/>
    <sheet name="B1. Functions List" sheetId="13" r:id="rId15"/>
    <sheet name="B2. 2021 on Examples" sheetId="16" r:id="rId16"/>
  </sheets>
  <externalReferences>
    <externalReference r:id="rId17"/>
  </externalReferences>
  <definedNames>
    <definedName name="_xlnm._FilterDatabase" localSheetId="11" hidden="1">'8. Nested IF'!$E$12:$E$35</definedName>
    <definedName name="_xlnm._FilterDatabase" localSheetId="12" hidden="1">'9. Reusing Variables'!$L$3:$L$26</definedName>
    <definedName name="Interest_Rate">[1]Intermediate!$C$3</definedName>
  </definedNames>
  <calcPr calcId="191029"/>
  <pivotCaches>
    <pivotCache cacheId="1" r:id="rId1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6" i="10" l="1"/>
  <c r="K6" i="18" a="1"/>
  <c r="K6" i="18" s="1"/>
  <c r="P6" i="18" a="1"/>
  <c r="P6" i="18" s="1"/>
  <c r="P5" i="18"/>
  <c r="J6" i="5" a="1"/>
  <c r="N6" i="8"/>
  <c r="E6" i="15"/>
  <c r="F6" i="15"/>
  <c r="G6" i="15"/>
  <c r="K5" i="18"/>
  <c r="H6" i="17" a="1"/>
  <c r="F7" i="17"/>
  <c r="F8" i="17"/>
  <c r="F9" i="17"/>
  <c r="F10" i="17"/>
  <c r="F6" i="17"/>
  <c r="F5" i="17"/>
  <c r="H5" i="17"/>
  <c r="D90" i="16"/>
  <c r="D91" i="16" a="1"/>
  <c r="D91" i="16" s="1"/>
  <c r="F74" i="16" a="1"/>
  <c r="F74" i="16" s="1"/>
  <c r="D74" i="16" a="1"/>
  <c r="D74" i="16" s="1"/>
  <c r="F73" i="16"/>
  <c r="D89" i="16" a="1"/>
  <c r="D89" i="16" s="1"/>
  <c r="D88" i="16"/>
  <c r="D73" i="16"/>
  <c r="I60" i="16" a="1"/>
  <c r="I60" i="16" s="1"/>
  <c r="I59" i="16"/>
  <c r="I51" i="16" a="1"/>
  <c r="I51" i="16" s="1"/>
  <c r="I50" i="16"/>
  <c r="E50" i="16"/>
  <c r="E51" i="16" a="1"/>
  <c r="E51" i="16" s="1"/>
  <c r="A35" i="16"/>
  <c r="D35" i="16"/>
  <c r="A36" i="16" a="1"/>
  <c r="D25" i="16"/>
  <c r="D26" i="16"/>
  <c r="E15" i="16"/>
  <c r="E16" i="16" a="1"/>
  <c r="E16" i="16" s="1"/>
  <c r="B5" i="16"/>
  <c r="B6" i="16" a="1"/>
  <c r="B6" i="16" s="1"/>
  <c r="N16" i="9"/>
  <c r="N17" i="9"/>
  <c r="N18" i="9"/>
  <c r="N19" i="9"/>
  <c r="N20" i="9"/>
  <c r="N21" i="9"/>
  <c r="N22" i="9"/>
  <c r="N23" i="9"/>
  <c r="N24" i="9"/>
  <c r="N25" i="9"/>
  <c r="N26" i="9"/>
  <c r="N27" i="9"/>
  <c r="N28" i="9"/>
  <c r="N29" i="9"/>
  <c r="N30" i="9"/>
  <c r="N31" i="9"/>
  <c r="N32" i="9"/>
  <c r="N33" i="9"/>
  <c r="N34" i="9"/>
  <c r="N15" i="9"/>
  <c r="N14" i="9"/>
  <c r="I10" i="15" a="1"/>
  <c r="I10" i="15" s="1"/>
  <c r="G10" i="15"/>
  <c r="F10" i="15"/>
  <c r="E10" i="15"/>
  <c r="D10" i="15"/>
  <c r="I9" i="15" a="1"/>
  <c r="I9" i="15" s="1"/>
  <c r="G9" i="15"/>
  <c r="F9" i="15"/>
  <c r="E9" i="15"/>
  <c r="D9" i="15"/>
  <c r="I8" i="15" a="1"/>
  <c r="I8" i="15" s="1"/>
  <c r="G8" i="15"/>
  <c r="F8" i="15"/>
  <c r="E8" i="15"/>
  <c r="D8" i="15"/>
  <c r="I7" i="15" a="1"/>
  <c r="I7" i="15" s="1"/>
  <c r="G7" i="15"/>
  <c r="F7" i="15"/>
  <c r="E7" i="15"/>
  <c r="D7" i="15"/>
  <c r="I6" i="15" a="1"/>
  <c r="I6" i="15" s="1"/>
  <c r="D6" i="15"/>
  <c r="I5" i="15"/>
  <c r="D5" i="15"/>
  <c r="I10" i="14" a="1"/>
  <c r="I10" i="14" s="1"/>
  <c r="G10" i="14"/>
  <c r="F10" i="14"/>
  <c r="E10" i="14"/>
  <c r="D10" i="14"/>
  <c r="I9" i="14" a="1"/>
  <c r="I9" i="14" s="1"/>
  <c r="G9" i="14"/>
  <c r="F9" i="14"/>
  <c r="E9" i="14"/>
  <c r="D9" i="14"/>
  <c r="I8" i="14" a="1"/>
  <c r="I8" i="14" s="1"/>
  <c r="G8" i="14"/>
  <c r="F8" i="14"/>
  <c r="E8" i="14"/>
  <c r="D8" i="14"/>
  <c r="I7" i="14" a="1"/>
  <c r="I7" i="14" s="1"/>
  <c r="G7" i="14"/>
  <c r="F7" i="14"/>
  <c r="E7" i="14"/>
  <c r="D7" i="14"/>
  <c r="I6" i="14" a="1"/>
  <c r="I6" i="14" s="1"/>
  <c r="G6" i="14"/>
  <c r="F6" i="14"/>
  <c r="E6" i="14"/>
  <c r="D6" i="14"/>
  <c r="I5" i="14"/>
  <c r="D5" i="14"/>
  <c r="M7" i="3"/>
  <c r="M8" i="3"/>
  <c r="M9" i="3"/>
  <c r="M10" i="3"/>
  <c r="M11" i="3"/>
  <c r="M12" i="3"/>
  <c r="M13" i="3"/>
  <c r="M14" i="3"/>
  <c r="M15" i="3"/>
  <c r="M16" i="3"/>
  <c r="M17" i="3"/>
  <c r="M18" i="3"/>
  <c r="M19" i="3"/>
  <c r="M20" i="3"/>
  <c r="M21" i="3"/>
  <c r="M22" i="3"/>
  <c r="M23" i="3"/>
  <c r="M24" i="3"/>
  <c r="M25" i="3"/>
  <c r="M6" i="3"/>
  <c r="T7" i="3"/>
  <c r="W6" i="3" s="1"/>
  <c r="T8" i="3"/>
  <c r="T9" i="3"/>
  <c r="T10" i="3"/>
  <c r="T11" i="3"/>
  <c r="T12" i="3"/>
  <c r="T13" i="3"/>
  <c r="T14" i="3"/>
  <c r="T15" i="3"/>
  <c r="T16" i="3"/>
  <c r="T17" i="3"/>
  <c r="T18" i="3"/>
  <c r="T19" i="3"/>
  <c r="T20" i="3"/>
  <c r="T21" i="3"/>
  <c r="T22" i="3"/>
  <c r="T23" i="3"/>
  <c r="T24" i="3"/>
  <c r="T25" i="3"/>
  <c r="T6" i="3"/>
  <c r="S7" i="10"/>
  <c r="L15" i="9" a="1"/>
  <c r="L15" i="9" s="1"/>
  <c r="E16" i="9"/>
  <c r="E17" i="9"/>
  <c r="E18" i="9"/>
  <c r="E19" i="9"/>
  <c r="E20" i="9"/>
  <c r="E21" i="9"/>
  <c r="E22" i="9"/>
  <c r="E23" i="9"/>
  <c r="E24" i="9"/>
  <c r="E25" i="9"/>
  <c r="E26" i="9"/>
  <c r="E27" i="9"/>
  <c r="E28" i="9"/>
  <c r="E29" i="9"/>
  <c r="E30" i="9"/>
  <c r="E31" i="9"/>
  <c r="E32" i="9"/>
  <c r="E33" i="9"/>
  <c r="E34" i="9"/>
  <c r="E15" i="9"/>
  <c r="N9" i="2"/>
  <c r="S8" i="10"/>
  <c r="S9" i="10"/>
  <c r="S10" i="10"/>
  <c r="S11" i="10"/>
  <c r="S12" i="10"/>
  <c r="S13" i="10"/>
  <c r="S14" i="10"/>
  <c r="S15" i="10"/>
  <c r="S16" i="10"/>
  <c r="S17" i="10"/>
  <c r="S18" i="10"/>
  <c r="S19" i="10"/>
  <c r="S20" i="10"/>
  <c r="S21" i="10"/>
  <c r="S22" i="10"/>
  <c r="S23" i="10"/>
  <c r="S24" i="10"/>
  <c r="S25" i="10"/>
  <c r="L6" i="10"/>
  <c r="H16" i="9"/>
  <c r="H17" i="9"/>
  <c r="H18" i="9"/>
  <c r="H19" i="9"/>
  <c r="H20" i="9"/>
  <c r="H21" i="9"/>
  <c r="H22" i="9"/>
  <c r="H23" i="9"/>
  <c r="H24" i="9"/>
  <c r="H25" i="9"/>
  <c r="H26" i="9"/>
  <c r="H27" i="9"/>
  <c r="H28" i="9"/>
  <c r="H29" i="9"/>
  <c r="H30" i="9"/>
  <c r="H31" i="9"/>
  <c r="H32" i="9"/>
  <c r="H33" i="9"/>
  <c r="H34" i="9"/>
  <c r="H15" i="9"/>
  <c r="L7" i="2" a="1"/>
  <c r="L7" i="2" s="1"/>
  <c r="L8" i="2" a="1"/>
  <c r="L8" i="2" s="1"/>
  <c r="L9" i="2" a="1"/>
  <c r="L9" i="2" s="1"/>
  <c r="L10" i="2" a="1"/>
  <c r="L10" i="2" s="1"/>
  <c r="L6" i="2" a="1"/>
  <c r="L6" i="2" s="1"/>
  <c r="F7" i="2"/>
  <c r="H7" i="2"/>
  <c r="J7" i="2"/>
  <c r="N7" i="2"/>
  <c r="F8" i="2"/>
  <c r="H8" i="2"/>
  <c r="J8" i="2"/>
  <c r="N8" i="2"/>
  <c r="F9" i="2"/>
  <c r="H9" i="2"/>
  <c r="J9" i="2"/>
  <c r="F10" i="2"/>
  <c r="H10" i="2"/>
  <c r="J10" i="2"/>
  <c r="N10" i="2"/>
  <c r="J6" i="2"/>
  <c r="J5" i="2"/>
  <c r="P5" i="10"/>
  <c r="O5" i="10"/>
  <c r="N5" i="10"/>
  <c r="N7" i="10"/>
  <c r="O7" i="10"/>
  <c r="P7" i="10"/>
  <c r="Q7" i="10"/>
  <c r="N8" i="10"/>
  <c r="O8" i="10"/>
  <c r="P8" i="10"/>
  <c r="Q8" i="10"/>
  <c r="N9" i="10"/>
  <c r="O9" i="10"/>
  <c r="P9" i="10"/>
  <c r="Q9" i="10"/>
  <c r="N10" i="10"/>
  <c r="O10" i="10"/>
  <c r="P10" i="10"/>
  <c r="Q10" i="10"/>
  <c r="N11" i="10"/>
  <c r="Q11" i="10" s="1"/>
  <c r="O11" i="10"/>
  <c r="P11" i="10"/>
  <c r="N12" i="10"/>
  <c r="O12" i="10"/>
  <c r="P12" i="10"/>
  <c r="Q12" i="10"/>
  <c r="N13" i="10"/>
  <c r="O13" i="10"/>
  <c r="P13" i="10"/>
  <c r="Q13" i="10"/>
  <c r="N14" i="10"/>
  <c r="O14" i="10"/>
  <c r="P14" i="10"/>
  <c r="Q14" i="10"/>
  <c r="N15" i="10"/>
  <c r="O15" i="10"/>
  <c r="P15" i="10"/>
  <c r="Q15" i="10"/>
  <c r="N16" i="10"/>
  <c r="Q16" i="10" s="1"/>
  <c r="O16" i="10"/>
  <c r="P16" i="10"/>
  <c r="N17" i="10"/>
  <c r="O17" i="10"/>
  <c r="N18" i="10"/>
  <c r="O18" i="10"/>
  <c r="P18" i="10"/>
  <c r="Q18" i="10"/>
  <c r="N19" i="10"/>
  <c r="O19" i="10"/>
  <c r="P19" i="10"/>
  <c r="Q19" i="10"/>
  <c r="N20" i="10"/>
  <c r="O20" i="10"/>
  <c r="P20" i="10"/>
  <c r="Q20" i="10"/>
  <c r="N21" i="10"/>
  <c r="O21" i="10"/>
  <c r="P21" i="10" s="1"/>
  <c r="N22" i="10"/>
  <c r="O22" i="10"/>
  <c r="P22" i="10"/>
  <c r="Q22" i="10"/>
  <c r="N23" i="10"/>
  <c r="O23" i="10"/>
  <c r="P23" i="10"/>
  <c r="Q23" i="10"/>
  <c r="N24" i="10"/>
  <c r="O24" i="10"/>
  <c r="P24" i="10"/>
  <c r="Q24" i="10"/>
  <c r="N25" i="10"/>
  <c r="O25" i="10"/>
  <c r="P25" i="10"/>
  <c r="Q25" i="10"/>
  <c r="O6" i="10"/>
  <c r="Q5" i="10"/>
  <c r="L7" i="10"/>
  <c r="L8" i="10"/>
  <c r="L9" i="10"/>
  <c r="L10" i="10"/>
  <c r="L11" i="10"/>
  <c r="L12" i="10"/>
  <c r="L13" i="10"/>
  <c r="L14" i="10"/>
  <c r="L15" i="10"/>
  <c r="L16" i="10"/>
  <c r="L17" i="10"/>
  <c r="L18" i="10"/>
  <c r="L19" i="10"/>
  <c r="L20" i="10"/>
  <c r="L21" i="10"/>
  <c r="L22" i="10"/>
  <c r="L23" i="10"/>
  <c r="L24" i="10"/>
  <c r="L25" i="10"/>
  <c r="L5" i="10"/>
  <c r="S5" i="10"/>
  <c r="L16" i="9" a="1"/>
  <c r="L16" i="9"/>
  <c r="L17" i="9" a="1"/>
  <c r="L17" i="9"/>
  <c r="L18" i="9" a="1"/>
  <c r="L18" i="9"/>
  <c r="L19" i="9" a="1"/>
  <c r="L19" i="9" s="1"/>
  <c r="L20" i="9" a="1"/>
  <c r="L20" i="9"/>
  <c r="L21" i="9" a="1"/>
  <c r="L21" i="9"/>
  <c r="L22" i="9" a="1"/>
  <c r="L22" i="9" s="1"/>
  <c r="L23" i="9" a="1"/>
  <c r="L23" i="9" s="1"/>
  <c r="L24" i="9" a="1"/>
  <c r="L24" i="9"/>
  <c r="L25" i="9" a="1"/>
  <c r="L25" i="9"/>
  <c r="L26" i="9" a="1"/>
  <c r="L26" i="9" s="1"/>
  <c r="L27" i="9" a="1"/>
  <c r="L27" i="9" s="1"/>
  <c r="L28" i="9" a="1"/>
  <c r="L28" i="9" s="1"/>
  <c r="L29" i="9" a="1"/>
  <c r="L29" i="9" s="1"/>
  <c r="L30" i="9" a="1"/>
  <c r="L30" i="9" s="1"/>
  <c r="L31" i="9" a="1"/>
  <c r="L31" i="9"/>
  <c r="L32" i="9" a="1"/>
  <c r="L32" i="9"/>
  <c r="L33" i="9" a="1"/>
  <c r="L33" i="9"/>
  <c r="L34" i="9" a="1"/>
  <c r="L34" i="9"/>
  <c r="L14" i="9"/>
  <c r="J14" i="9"/>
  <c r="J16" i="9" a="1"/>
  <c r="J16" i="9" s="1"/>
  <c r="J17" i="9" a="1"/>
  <c r="J17" i="9"/>
  <c r="J18" i="9" a="1"/>
  <c r="J18" i="9" s="1"/>
  <c r="J19" i="9" a="1"/>
  <c r="J19" i="9" s="1"/>
  <c r="J20" i="9" a="1"/>
  <c r="J20" i="9" s="1"/>
  <c r="J21" i="9" a="1"/>
  <c r="J21" i="9" s="1"/>
  <c r="J22" i="9" a="1"/>
  <c r="J22" i="9" s="1"/>
  <c r="J23" i="9" a="1"/>
  <c r="J23" i="9" s="1"/>
  <c r="J24" i="9" a="1"/>
  <c r="J24" i="9" s="1"/>
  <c r="J25" i="9" a="1"/>
  <c r="J25" i="9" s="1"/>
  <c r="J26" i="9" a="1"/>
  <c r="J26" i="9" s="1"/>
  <c r="J27" i="9" a="1"/>
  <c r="J27" i="9" s="1"/>
  <c r="J28" i="9" a="1"/>
  <c r="J28" i="9" s="1"/>
  <c r="J29" i="9" a="1"/>
  <c r="J29" i="9" s="1"/>
  <c r="J30" i="9" a="1"/>
  <c r="J30" i="9" s="1"/>
  <c r="J31" i="9" a="1"/>
  <c r="J31" i="9" s="1"/>
  <c r="J32" i="9" a="1"/>
  <c r="J32" i="9" s="1"/>
  <c r="J33" i="9" a="1"/>
  <c r="J33" i="9" s="1"/>
  <c r="J34" i="9" a="1"/>
  <c r="J34" i="9" s="1"/>
  <c r="J15" i="9" a="1"/>
  <c r="J15" i="9" s="1"/>
  <c r="H14" i="9"/>
  <c r="F34" i="9"/>
  <c r="F29" i="9"/>
  <c r="F24" i="9"/>
  <c r="F19" i="9"/>
  <c r="F33" i="9"/>
  <c r="F28" i="9"/>
  <c r="F23" i="9"/>
  <c r="F17" i="9"/>
  <c r="F31" i="9"/>
  <c r="F26" i="9"/>
  <c r="F21" i="9"/>
  <c r="F18" i="9"/>
  <c r="F15" i="9"/>
  <c r="F7" i="8"/>
  <c r="G7" i="8"/>
  <c r="J7" i="8"/>
  <c r="K7" i="8"/>
  <c r="N7" i="8"/>
  <c r="O7" i="8"/>
  <c r="O6" i="8"/>
  <c r="N5" i="8"/>
  <c r="O5" i="8"/>
  <c r="G6" i="8"/>
  <c r="F6" i="8"/>
  <c r="G5" i="8"/>
  <c r="F5" i="8"/>
  <c r="K6" i="8"/>
  <c r="J6" i="8"/>
  <c r="K5" i="8"/>
  <c r="J5" i="8"/>
  <c r="E9" i="5"/>
  <c r="E12" i="5"/>
  <c r="E13" i="5"/>
  <c r="E14" i="5"/>
  <c r="E15" i="5"/>
  <c r="E16" i="5"/>
  <c r="E18" i="5"/>
  <c r="E19" i="5"/>
  <c r="E20" i="5"/>
  <c r="E23" i="5"/>
  <c r="E24" i="5"/>
  <c r="N6" i="4" a="1"/>
  <c r="F7" i="4"/>
  <c r="F8" i="4"/>
  <c r="F10" i="4"/>
  <c r="F13" i="4"/>
  <c r="F14" i="4"/>
  <c r="F15" i="4"/>
  <c r="F18" i="4"/>
  <c r="F19" i="4"/>
  <c r="F20" i="4"/>
  <c r="F23" i="4"/>
  <c r="F24" i="4"/>
  <c r="F25" i="4"/>
  <c r="AB6" i="3" a="1"/>
  <c r="F10" i="3"/>
  <c r="I6" i="3"/>
  <c r="I10" i="3"/>
  <c r="J10" i="3" s="1"/>
  <c r="I9" i="3"/>
  <c r="K9" i="3" s="1"/>
  <c r="I8" i="3"/>
  <c r="K8" i="3" s="1"/>
  <c r="I7" i="3"/>
  <c r="K7" i="3" s="1"/>
  <c r="F7" i="3"/>
  <c r="F8" i="3"/>
  <c r="F9" i="3"/>
  <c r="F6" i="3"/>
  <c r="N6" i="2"/>
  <c r="H6" i="2"/>
  <c r="F6" i="2"/>
  <c r="J5" i="5"/>
  <c r="H5" i="5"/>
  <c r="E5" i="5"/>
  <c r="N5" i="4"/>
  <c r="K5" i="4"/>
  <c r="J5" i="4"/>
  <c r="I5" i="4"/>
  <c r="F5" i="4"/>
  <c r="AB5" i="3"/>
  <c r="T5" i="3"/>
  <c r="W5" i="3"/>
  <c r="Y5" i="3"/>
  <c r="X5" i="3"/>
  <c r="R5" i="3"/>
  <c r="Q5" i="3"/>
  <c r="H5" i="2"/>
  <c r="P5" i="3"/>
  <c r="I5" i="3"/>
  <c r="F5" i="3"/>
  <c r="L5" i="2"/>
  <c r="K5" i="3"/>
  <c r="J5" i="3"/>
  <c r="M5" i="3"/>
  <c r="N5" i="2"/>
  <c r="F5" i="2"/>
  <c r="P6" i="10" l="1"/>
  <c r="Q6" i="10"/>
  <c r="H6" i="17"/>
  <c r="J6" i="5"/>
  <c r="A36" i="16"/>
  <c r="D36" i="16" a="1"/>
  <c r="D36" i="16" s="1"/>
  <c r="AB6" i="3"/>
  <c r="N6" i="4"/>
  <c r="P17" i="10"/>
  <c r="Q17" i="10"/>
  <c r="Q21" i="10"/>
  <c r="E6" i="5"/>
  <c r="F6" i="4"/>
  <c r="X8" i="3"/>
  <c r="R6" i="3"/>
  <c r="X6" i="3"/>
  <c r="Q6" i="3"/>
  <c r="Q7" i="3"/>
  <c r="Y8" i="3"/>
  <c r="P6" i="3"/>
  <c r="Y10" i="3"/>
  <c r="R7" i="3"/>
  <c r="Y9" i="3"/>
  <c r="X9" i="3"/>
  <c r="W8" i="3"/>
  <c r="Y7" i="3"/>
  <c r="P10" i="3"/>
  <c r="X10" i="3"/>
  <c r="W10" i="3"/>
  <c r="W9" i="3"/>
  <c r="X7" i="3"/>
  <c r="Y6" i="3"/>
  <c r="R10" i="3"/>
  <c r="P7" i="3"/>
  <c r="W7" i="3"/>
  <c r="Q9" i="3"/>
  <c r="P9" i="3"/>
  <c r="P8" i="3"/>
  <c r="Q8" i="3"/>
  <c r="R9" i="3"/>
  <c r="R8" i="3"/>
  <c r="Q10" i="3"/>
  <c r="K6" i="3"/>
  <c r="J9" i="3"/>
  <c r="J8" i="3"/>
  <c r="K10" i="3"/>
  <c r="J6" i="3"/>
  <c r="J7" i="3"/>
  <c r="D7" i="1"/>
  <c r="D8" i="1"/>
  <c r="D9" i="1"/>
  <c r="D10" i="1"/>
  <c r="D11" i="1"/>
  <c r="D12" i="1"/>
  <c r="D6" i="1"/>
  <c r="C7" i="1"/>
  <c r="C8" i="1"/>
  <c r="C9" i="1"/>
  <c r="C10" i="1"/>
  <c r="C11" i="1"/>
  <c r="C12" i="1"/>
  <c r="C6" i="1"/>
  <c r="I7" i="1"/>
  <c r="I8" i="1"/>
  <c r="I9" i="1"/>
  <c r="I10" i="1"/>
  <c r="I11" i="1"/>
  <c r="I12" i="1"/>
  <c r="I6" i="1"/>
  <c r="H7" i="1"/>
  <c r="H8" i="1"/>
  <c r="H9" i="1"/>
  <c r="H10" i="1"/>
  <c r="H11" i="1"/>
  <c r="H12" i="1"/>
  <c r="H6" i="1"/>
  <c r="I5" i="1"/>
  <c r="H5" i="1"/>
  <c r="D5" i="1"/>
  <c r="C5" i="1"/>
  <c r="E7" i="5" l="1"/>
  <c r="H6" i="5"/>
  <c r="F9" i="4"/>
  <c r="H7" i="5" l="1"/>
  <c r="E8" i="5"/>
  <c r="F11" i="4"/>
  <c r="F12" i="4" s="1"/>
  <c r="H8" i="5" l="1"/>
  <c r="E10" i="5"/>
  <c r="F16" i="4"/>
  <c r="F17" i="4" s="1"/>
  <c r="H9" i="5" l="1"/>
  <c r="E11" i="5"/>
  <c r="E17" i="5" s="1"/>
  <c r="K7" i="4"/>
  <c r="I7" i="4"/>
  <c r="J7" i="4"/>
  <c r="F21" i="4"/>
  <c r="E22" i="5" l="1"/>
  <c r="E21" i="5"/>
  <c r="E25" i="5"/>
  <c r="H10" i="5"/>
  <c r="F22" i="4"/>
  <c r="J6" i="4"/>
  <c r="I6" i="4"/>
  <c r="K6" i="4"/>
  <c r="I9" i="4"/>
  <c r="K9" i="4"/>
  <c r="J9" i="4"/>
  <c r="K8" i="4"/>
  <c r="I8" i="4"/>
  <c r="J8" i="4"/>
  <c r="H17" i="5" l="1"/>
  <c r="H14" i="5"/>
  <c r="H16" i="5"/>
  <c r="H13" i="5"/>
  <c r="H11" i="5"/>
  <c r="H15" i="5"/>
  <c r="H12" i="5"/>
  <c r="I16" i="4"/>
  <c r="J17" i="4"/>
  <c r="K16" i="4"/>
  <c r="I17" i="4"/>
  <c r="K15" i="4"/>
  <c r="J15" i="4"/>
  <c r="I12" i="4"/>
  <c r="J13" i="4"/>
  <c r="J10" i="4"/>
  <c r="J12" i="4"/>
  <c r="K11" i="4"/>
  <c r="I10" i="4"/>
  <c r="J14" i="4"/>
  <c r="I15" i="4"/>
  <c r="K17" i="4"/>
  <c r="J16" i="4"/>
  <c r="J11" i="4"/>
  <c r="K13" i="4"/>
  <c r="K10" i="4"/>
  <c r="K12" i="4"/>
  <c r="K14" i="4"/>
  <c r="I14" i="4"/>
  <c r="I13" i="4"/>
  <c r="I1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<sst xmlns="http://schemas.openxmlformats.org/spreadsheetml/2006/main" count="966" uniqueCount="446">
  <si>
    <t>Text Functions</t>
  </si>
  <si>
    <t>Full Name</t>
  </si>
  <si>
    <t>Smith, John</t>
  </si>
  <si>
    <t>Patel, Anika</t>
  </si>
  <si>
    <t>O'Brien, Liam</t>
  </si>
  <si>
    <t>Chen, Wei</t>
  </si>
  <si>
    <t>Thompson, Sarah</t>
  </si>
  <si>
    <t>Garcia, Miguel</t>
  </si>
  <si>
    <t>Khan, Ayesha</t>
  </si>
  <si>
    <t>Old way</t>
  </si>
  <si>
    <t>Surname</t>
  </si>
  <si>
    <t>New way</t>
  </si>
  <si>
    <t>Firstname</t>
  </si>
  <si>
    <t>Source Data</t>
  </si>
  <si>
    <t>Order ID</t>
  </si>
  <si>
    <t>Products</t>
  </si>
  <si>
    <t>Laptop, Mouse, Keyboard</t>
  </si>
  <si>
    <t>Monitor, Docking Station</t>
  </si>
  <si>
    <t>Webcam</t>
  </si>
  <si>
    <t>Laptop, Bag</t>
  </si>
  <si>
    <t>Product 1</t>
  </si>
  <si>
    <t>Product 2</t>
  </si>
  <si>
    <t>Product 3</t>
  </si>
  <si>
    <t>Product 4</t>
  </si>
  <si>
    <t>Why it's not great</t>
  </si>
  <si>
    <t>SEARCH function finds the location of the delimeter, returns the position of the first instance. You then have to add or subtract 1 or 2 in order to move to the end/start of the name part you need. LEN function makes sure that the part of the end you keep is long enough to cover the whole first name.</t>
  </si>
  <si>
    <t>Nested functions, multiple references to the required cell, manual entry for the offset amount (which will vary depening on what the delimeter is, e.g. if its simply "," vs ", " i.e. with or withouth the space)</t>
  </si>
  <si>
    <t>Single function, single reference to source cell, no manual "adjustment" needed.</t>
  </si>
  <si>
    <t>This works by replacing each comma with 100 spaces. The MID function uses the column A to incrementally extract the 'next 100 chars' and then finally it's trimmed.</t>
  </si>
  <si>
    <t>Single formuale, single reference, much easier to read/audit, will automatically spill as many columns as required.</t>
  </si>
  <si>
    <t>Spliting column - Single delimeter</t>
  </si>
  <si>
    <t>Spliting column - Unknown number of delimeters</t>
  </si>
  <si>
    <t>Spliting column - Unknown number of different delimeters</t>
  </si>
  <si>
    <t>Laptop, Mouse/ Keyboard</t>
  </si>
  <si>
    <t>Very long. Needs explict defintion of all the potential delimeters.</t>
  </si>
  <si>
    <t>Quite complicated to write, the reference to columns will stop working if the formula is copied elsewhere (needs to remain unanchored but reference first col), you need to manually copy as many cols as you think you'll need.</t>
  </si>
  <si>
    <t>Nested substitute function converts all delimters to comma, then follows previous pattern.</t>
  </si>
  <si>
    <t>Joining Text</t>
  </si>
  <si>
    <t>Laptop</t>
  </si>
  <si>
    <t>Mouse</t>
  </si>
  <si>
    <t>Keyboard</t>
  </si>
  <si>
    <t/>
  </si>
  <si>
    <t>Monitor</t>
  </si>
  <si>
    <t>Docking Station</t>
  </si>
  <si>
    <t>Phone</t>
  </si>
  <si>
    <t>Case</t>
  </si>
  <si>
    <t>Charger</t>
  </si>
  <si>
    <t>Earbuds</t>
  </si>
  <si>
    <t>Bag</t>
  </si>
  <si>
    <t>Joined</t>
  </si>
  <si>
    <t>Manually refer to each column</t>
  </si>
  <si>
    <t>Old way v1 (ampersand)</t>
  </si>
  <si>
    <t>Now you can refer to a range, which is good.</t>
  </si>
  <si>
    <t>Old way v2 (CONCATENATE 2016)</t>
  </si>
  <si>
    <t>New way (TEXTJOIN)</t>
  </si>
  <si>
    <t>Top N</t>
  </si>
  <si>
    <t>Salesperson</t>
  </si>
  <si>
    <t>Region</t>
  </si>
  <si>
    <t>Sales (£)</t>
  </si>
  <si>
    <t>James Carter</t>
  </si>
  <si>
    <t>London</t>
  </si>
  <si>
    <t>Emily Watson</t>
  </si>
  <si>
    <t>Manchester</t>
  </si>
  <si>
    <t>Oliver Hughes</t>
  </si>
  <si>
    <t>Birmingham</t>
  </si>
  <si>
    <t>Sophia Patel</t>
  </si>
  <si>
    <t>Harry Collins</t>
  </si>
  <si>
    <t>Bristol</t>
  </si>
  <si>
    <t>Amelia Khan</t>
  </si>
  <si>
    <t>Leeds</t>
  </si>
  <si>
    <t>Jack Turner</t>
  </si>
  <si>
    <t>Isla Bennett</t>
  </si>
  <si>
    <t>George Murphy</t>
  </si>
  <si>
    <t>Mia Cooper</t>
  </si>
  <si>
    <t>Noah Bailey</t>
  </si>
  <si>
    <t>Ava Richardson</t>
  </si>
  <si>
    <t>Leo Ward</t>
  </si>
  <si>
    <t>Grace Foster</t>
  </si>
  <si>
    <t>Charlie Price</t>
  </si>
  <si>
    <t>Evie Brooks</t>
  </si>
  <si>
    <t>Oscar Reed</t>
  </si>
  <si>
    <t>Lily Cox</t>
  </si>
  <si>
    <t>Freddie Gray</t>
  </si>
  <si>
    <t>Ella Morris</t>
  </si>
  <si>
    <t>Old way v1 (LARGE)</t>
  </si>
  <si>
    <t>Finding top 5 values</t>
  </si>
  <si>
    <t>Uses LARGE function, which returns the N'th largest value in a list. Use helper col to get top 1 through 5.</t>
  </si>
  <si>
    <t>Only returns values, not names and regions.</t>
  </si>
  <si>
    <t>Helper Column (top 5)</t>
  </si>
  <si>
    <t>Helper Column (rank source)</t>
  </si>
  <si>
    <t>Name</t>
  </si>
  <si>
    <t>Sales</t>
  </si>
  <si>
    <t>Old way v2 (LARGE+INDEX/MATCH)</t>
  </si>
  <si>
    <t>Applies a helper column to the source data and then looks up the ranks 1-5 against that, still doesn’t cope with equal sales values.</t>
  </si>
  <si>
    <t>Uses an INDEX/MATCH to get the sales person and region, based on looking up the returned sales value.</t>
  </si>
  <si>
    <t>Relies on matchign a £ value in a lookup (not great) also this won't work if two people have the same value of sales.</t>
  </si>
  <si>
    <t>Requires a helper column on the source table, and still doesn't work with equal ranks.</t>
  </si>
  <si>
    <t>Adds a COUNTIF to the RANK output, so that if there's been a previous row with the same value, then the subsequent rows get a unique rank. Can now cope with dulpicate sales values.</t>
  </si>
  <si>
    <t>Still requires a helper column on the source data table, and on the output table.</t>
  </si>
  <si>
    <t>Old way v3 (RANK + INDEX/MATCH)</t>
  </si>
  <si>
    <t>Old way 4 (RANK + COUNITF + INDEX/MATCH)</t>
  </si>
  <si>
    <t>New way (SORT+TAKE)</t>
  </si>
  <si>
    <t>Optional</t>
  </si>
  <si>
    <t>Filter</t>
  </si>
  <si>
    <t>Helper</t>
  </si>
  <si>
    <t>Index List</t>
  </si>
  <si>
    <t>Old way (helper column and INDEX/MATCH)</t>
  </si>
  <si>
    <t>New way (FILTER)</t>
  </si>
  <si>
    <t>Helper column would flag matching records, with a unique number. You can then index/match from another manual helper column to return each of the values which match the criteria.</t>
  </si>
  <si>
    <t>Needs a helper column on source data, and output. You need to anticipate how many rows of output you'll need. You may need to wrap in IFERROR to supporess the #N/A result.</t>
  </si>
  <si>
    <t>Simple single formula, no helpers requried, scales automatically.</t>
  </si>
  <si>
    <t>Helper column looks to see if that region has been seen before, if it has then returns zero, if not then looks for the max so far and adds +1.</t>
  </si>
  <si>
    <t>New way (UNIQUE)</t>
  </si>
  <si>
    <t>Creating a dynamic unique list of Regions</t>
  </si>
  <si>
    <t>Creating a dynamic filter to return People in a Region</t>
  </si>
  <si>
    <t>Agenda</t>
  </si>
  <si>
    <t>Lookups</t>
  </si>
  <si>
    <t>Looking up in one column and returning another</t>
  </si>
  <si>
    <t>New way (XLOOKUP)</t>
  </si>
  <si>
    <t>Bad Way (VLOOKUP)</t>
  </si>
  <si>
    <t>Better Way (INDEX/MATCH)</t>
  </si>
  <si>
    <t>Steven Miller</t>
  </si>
  <si>
    <t>VLOOKUP references the entire table and you have to specify which column to return.</t>
  </si>
  <si>
    <t>If columns are inserted then the 'return index' becomes incorrect and you get the wrong column back.</t>
  </si>
  <si>
    <t>MATCH function finds the position that the person's name was found in. INDEX function returns the value from the specified position.</t>
  </si>
  <si>
    <t>It is resilient to column insertions and allows you to return columns from either side of the lookup range, however it i) requires two functions, ii) the order of parameters isn't intuitive (i.e. return array specified first) and iii) no facility for a default in cases where lookup not found.</t>
  </si>
  <si>
    <t>i) Single function, ii) order intuitive (i.e. find what, in where and then return what), and iii) has facility for a default when item not found.</t>
  </si>
  <si>
    <t>Multiple Conditions</t>
  </si>
  <si>
    <t>Unique List</t>
  </si>
  <si>
    <t>Alternatives to nested IF statements</t>
  </si>
  <si>
    <t>Unfair commission rules</t>
  </si>
  <si>
    <t>Rule</t>
  </si>
  <si>
    <t>10% of sales</t>
  </si>
  <si>
    <t>20% of sales</t>
  </si>
  <si>
    <t>Flat £1,000</t>
  </si>
  <si>
    <t>(Sales + £20k) * 15%</t>
  </si>
  <si>
    <t>Zero</t>
  </si>
  <si>
    <t>Flat £2,500</t>
  </si>
  <si>
    <t>Old way (Nested IF)</t>
  </si>
  <si>
    <t>Commission</t>
  </si>
  <si>
    <t>Manual (for check)</t>
  </si>
  <si>
    <t>Other</t>
  </si>
  <si>
    <t>Better way (IFS)</t>
  </si>
  <si>
    <t>New way (SWITCH)</t>
  </si>
  <si>
    <t>Checked each condition, if FALSE then performs another, nested, check.</t>
  </si>
  <si>
    <t>Really long formula, hard to keep track of all the closing brackets!</t>
  </si>
  <si>
    <t>IFS lets you check multiple conditions, is a direct replacement for nested IF statements. Has the advantage that each check could be a completely different logical check.</t>
  </si>
  <si>
    <t>In this particular case we just want to check the value in col B and then select an action based on it, so there's multiple references to col B.</t>
  </si>
  <si>
    <t>Similar to Select Case in VBA we just want to choose an action based on a single value. So this is simpler to write than IFS and only requires a single reference to the input cell.</t>
  </si>
  <si>
    <t>Reusing variables</t>
  </si>
  <si>
    <t>New way (LET)</t>
  </si>
  <si>
    <t>Old way (multiple references)</t>
  </si>
  <si>
    <t>Sales (£) Y1 Q1</t>
  </si>
  <si>
    <t>Sales (£) Y1 Q2</t>
  </si>
  <si>
    <t>Sales (£) Y1 Q3</t>
  </si>
  <si>
    <t>Sales (£) Y1 Q4</t>
  </si>
  <si>
    <t>Sales (£) Y2 Q1</t>
  </si>
  <si>
    <t>Sales (£) Y2 Q2</t>
  </si>
  <si>
    <t>Sales (£) Y2 Q3</t>
  </si>
  <si>
    <t>Sales (£) Y2 Q4</t>
  </si>
  <si>
    <t>Y1 to Y2 Growth %</t>
  </si>
  <si>
    <t>Calculates Y1 sum multiple times.</t>
  </si>
  <si>
    <t>i) Repeated calculation (slower), ii) more references to update if you need to change the source range, iii) no variable names to explain code.</t>
  </si>
  <si>
    <t>i) Y1 calculated once only, ii) only single references to update, iii) using variable names makes formula easier to understand.)</t>
  </si>
  <si>
    <t>Better way (interim steps)</t>
  </si>
  <si>
    <t>Y1 to Y2 Growth £</t>
  </si>
  <si>
    <t>Y1 total £</t>
  </si>
  <si>
    <t>Y2 total £</t>
  </si>
  <si>
    <t>Calculates each interim step separately. This is good because the interim steps can be seen and reviewed. The interim steps can also be labelled.</t>
  </si>
  <si>
    <t>It is a bit bulkier on the page, may not always be suitable depending on the context.</t>
  </si>
  <si>
    <t>Note - LET should not be used as a substitute for good spreadsheet practice - i.e. it is not a license to make long complex formulae, because review of the interim results can often be helpful for users to understand how and why results are what they are. But it can help as an extra layer of clarity.</t>
  </si>
  <si>
    <t>(NB regex is looking for any spaces, followed by comma, semi colon, slash or hash, and any following spaces, and replaces with a single comma)</t>
  </si>
  <si>
    <t>Idea (CONCAT 365 era)</t>
  </si>
  <si>
    <t>Have to put in delimeters manually, extra delimeters</t>
  </si>
  <si>
    <t>Old way v3 (CONCATENATE + IF)</t>
  </si>
  <si>
    <t>Still manually refer to each column, just replaces ampersand.</t>
  </si>
  <si>
    <t>IF statement means value is only included if non blank.</t>
  </si>
  <si>
    <t>But you now don’t have the option for delimeters, so have to awkwardly add.</t>
  </si>
  <si>
    <t>Much longer formula still not refer to range.</t>
  </si>
  <si>
    <t>Can refer to a range, can include delimeters, can skip blanks (so you don't get unnecessary delimeters)</t>
  </si>
  <si>
    <t>LET</t>
  </si>
  <si>
    <t>Conclusion</t>
  </si>
  <si>
    <t>1. Splitting Text</t>
  </si>
  <si>
    <t>2. Joining Text</t>
  </si>
  <si>
    <t>3. Lookup</t>
  </si>
  <si>
    <t>4. Unique List</t>
  </si>
  <si>
    <t>5. Filtering</t>
  </si>
  <si>
    <t>6. Top N</t>
  </si>
  <si>
    <t>Introduction</t>
  </si>
  <si>
    <t>How old way worked</t>
  </si>
  <si>
    <t>Why new way is better</t>
  </si>
  <si>
    <t>Venture outside your comfort zone - be open to new approaches to problem solving.</t>
  </si>
  <si>
    <t>Look up and practise using the new functions - learn what they do so the become available tools when you're problem solving.</t>
  </si>
  <si>
    <t>When building - pause to consider if there could be an alternative approach.</t>
  </si>
  <si>
    <t>(Using LET is not an excuse for long formulae!)</t>
  </si>
  <si>
    <t>Phone, Wallet, Charger, Earbuds</t>
  </si>
  <si>
    <t>Phone# Wallet, Charger; Earbuds</t>
  </si>
  <si>
    <t>Using REGEXREPLACE we can replace a number of different delimeters with a simple comma, and then deploy TEXTSPLIT on that result. Single function no matter how many delimeters, more scalable.</t>
  </si>
  <si>
    <t>No helper required, scales to the number of Top N you want, very simple formula. (First sorts, then keeps the top N you've asked for.)</t>
  </si>
  <si>
    <t>Excel 2007</t>
  </si>
  <si>
    <t>Functions by Release Year</t>
  </si>
  <si>
    <t>AVERAGEIF</t>
  </si>
  <si>
    <t>AVERAGEIFS</t>
  </si>
  <si>
    <t>COUNTIFS</t>
  </si>
  <si>
    <t>CUBEKPIMEMBER</t>
  </si>
  <si>
    <t>CUBEMEMBER</t>
  </si>
  <si>
    <t>CUBEMEMBERPROPERTY</t>
  </si>
  <si>
    <t>CUBERANKEDMEMBER</t>
  </si>
  <si>
    <t>CUBESET</t>
  </si>
  <si>
    <t>CUBESETCOUNT</t>
  </si>
  <si>
    <t>CUBEVALUE</t>
  </si>
  <si>
    <t>IFERROR</t>
  </si>
  <si>
    <t>SUMIFS</t>
  </si>
  <si>
    <t>AGGREGATE</t>
  </si>
  <si>
    <t>ASC</t>
  </si>
  <si>
    <t>BETA.DIST</t>
  </si>
  <si>
    <t>BETA.INV</t>
  </si>
  <si>
    <t>BINOM.DIST</t>
  </si>
  <si>
    <t>BINOM.INV</t>
  </si>
  <si>
    <t>CEILING.PRECISE</t>
  </si>
  <si>
    <t>CHISQ.DIST</t>
  </si>
  <si>
    <t>CHISQ.DIST.RT</t>
  </si>
  <si>
    <t>CHISQ.INV</t>
  </si>
  <si>
    <t>CHISQ.INV.RT</t>
  </si>
  <si>
    <t>CHISQ.TEST</t>
  </si>
  <si>
    <t>CONFIDENCE.NORM</t>
  </si>
  <si>
    <t>CONFIDENCE.T</t>
  </si>
  <si>
    <t>COVARIANCE.P</t>
  </si>
  <si>
    <t>COVARIANCE.S</t>
  </si>
  <si>
    <t>DBCS</t>
  </si>
  <si>
    <t>ECMA.CEILING</t>
  </si>
  <si>
    <t>ERF.PRECISE</t>
  </si>
  <si>
    <t>ERFC.PRECISE</t>
  </si>
  <si>
    <t>EXPON.DIST</t>
  </si>
  <si>
    <t>F.DIST</t>
  </si>
  <si>
    <t>F.DIST.RT</t>
  </si>
  <si>
    <t>F.INV</t>
  </si>
  <si>
    <t>F.INV.RT</t>
  </si>
  <si>
    <t>F.TEST</t>
  </si>
  <si>
    <t>FLOOR.PRECISE</t>
  </si>
  <si>
    <t>GAMMA.DIST</t>
  </si>
  <si>
    <t>GAMMA.INV</t>
  </si>
  <si>
    <t>GAMMALN.PRECISE</t>
  </si>
  <si>
    <t>HYPGEOM.DIST</t>
  </si>
  <si>
    <t>ISO.CEILING</t>
  </si>
  <si>
    <t>LOGNORM.DIST</t>
  </si>
  <si>
    <t>LOGNORM.INV</t>
  </si>
  <si>
    <t>MODE.MULT</t>
  </si>
  <si>
    <t>MODE.SNGL</t>
  </si>
  <si>
    <t>NEGBINOM.DIST</t>
  </si>
  <si>
    <t>NETWORKDAYS.INTL</t>
  </si>
  <si>
    <t>NORM.DIST</t>
  </si>
  <si>
    <t>NORM.INV</t>
  </si>
  <si>
    <t>NORM.S.DIST</t>
  </si>
  <si>
    <t>NORM.S.INV</t>
  </si>
  <si>
    <t>PERCENTILE.EXC</t>
  </si>
  <si>
    <t>PERCENTILE.INC</t>
  </si>
  <si>
    <t>PERCENTRANK.EXC</t>
  </si>
  <si>
    <t>PERCENTRANK.INC</t>
  </si>
  <si>
    <t>POISSON.DIST</t>
  </si>
  <si>
    <t>QUARTILE.EXC</t>
  </si>
  <si>
    <t>QUARTILE.INC</t>
  </si>
  <si>
    <t>RANK.AVG</t>
  </si>
  <si>
    <t>RANK.EQ</t>
  </si>
  <si>
    <t>STDEV.P</t>
  </si>
  <si>
    <t>STDEV.S</t>
  </si>
  <si>
    <t>T.DIST</t>
  </si>
  <si>
    <t>T.DIST.2T</t>
  </si>
  <si>
    <t>T.DIST.RT</t>
  </si>
  <si>
    <t>T.INV</t>
  </si>
  <si>
    <t>T.INV.2T</t>
  </si>
  <si>
    <t>T.TEST</t>
  </si>
  <si>
    <t>VAR.P</t>
  </si>
  <si>
    <t>VAR.S</t>
  </si>
  <si>
    <t>WEIBULL.DIST</t>
  </si>
  <si>
    <t>WORKDAY.INTL</t>
  </si>
  <si>
    <t>Z.TEST</t>
  </si>
  <si>
    <t>Excel 2010</t>
  </si>
  <si>
    <t>ACOT</t>
  </si>
  <si>
    <t>ACOTH</t>
  </si>
  <si>
    <t>ARABIC</t>
  </si>
  <si>
    <t>BASE</t>
  </si>
  <si>
    <t>BINOM.DIST.RANGE</t>
  </si>
  <si>
    <t>BITAND</t>
  </si>
  <si>
    <t>BITLSHIFT</t>
  </si>
  <si>
    <t>BITOR</t>
  </si>
  <si>
    <t>BITRSHIFT</t>
  </si>
  <si>
    <t>BITXOR</t>
  </si>
  <si>
    <t>CEILING.MATH</t>
  </si>
  <si>
    <t>COMBINA</t>
  </si>
  <si>
    <t>COT</t>
  </si>
  <si>
    <t>COTH</t>
  </si>
  <si>
    <t>CSC</t>
  </si>
  <si>
    <t>CSCH</t>
  </si>
  <si>
    <t>DAYS</t>
  </si>
  <si>
    <t>DECIMAL</t>
  </si>
  <si>
    <t>ENCODEURL</t>
  </si>
  <si>
    <t>FILTERXML</t>
  </si>
  <si>
    <t>FLOOR.MATH</t>
  </si>
  <si>
    <t>FORMULATEXT</t>
  </si>
  <si>
    <t>GAMMA</t>
  </si>
  <si>
    <t>GAUSS</t>
  </si>
  <si>
    <t>IFNA</t>
  </si>
  <si>
    <t>IMCOSH</t>
  </si>
  <si>
    <t>IMCOT</t>
  </si>
  <si>
    <t>IMCSC</t>
  </si>
  <si>
    <t>IMCSCH</t>
  </si>
  <si>
    <t>IMSEC</t>
  </si>
  <si>
    <t>IMSECH</t>
  </si>
  <si>
    <t>IMSINH</t>
  </si>
  <si>
    <t>IMTAN</t>
  </si>
  <si>
    <t>ISOWEEKNUM</t>
  </si>
  <si>
    <t>MUNIT</t>
  </si>
  <si>
    <t>NUMBERVALUE</t>
  </si>
  <si>
    <t>PDURATION</t>
  </si>
  <si>
    <t>PERMUTATIONA</t>
  </si>
  <si>
    <t>PHI</t>
  </si>
  <si>
    <t>RRI</t>
  </si>
  <si>
    <t>SEC</t>
  </si>
  <si>
    <t>SECH</t>
  </si>
  <si>
    <t>SHEET</t>
  </si>
  <si>
    <t>SHEETS</t>
  </si>
  <si>
    <t>SKEW.P</t>
  </si>
  <si>
    <t>UNICHAR</t>
  </si>
  <si>
    <t>UNICODE</t>
  </si>
  <si>
    <t>WEBSERVICE</t>
  </si>
  <si>
    <t>XOR</t>
  </si>
  <si>
    <t>Excel 2013</t>
  </si>
  <si>
    <t>FORECAST.ETS</t>
  </si>
  <si>
    <t>FORECAST.ETS.CONFINT</t>
  </si>
  <si>
    <t>FORECAST.ETS.SEASONALITY</t>
  </si>
  <si>
    <t>FORECAST.ETS.STAT</t>
  </si>
  <si>
    <t>FORECAST.LINEAR</t>
  </si>
  <si>
    <t>Excel 2016</t>
  </si>
  <si>
    <t>CONCAT</t>
  </si>
  <si>
    <t>IFS</t>
  </si>
  <si>
    <t>MAXIFS</t>
  </si>
  <si>
    <t>MINIFS</t>
  </si>
  <si>
    <t>SWITCH</t>
  </si>
  <si>
    <t>TEXTJOIN</t>
  </si>
  <si>
    <t>Excel 2019</t>
  </si>
  <si>
    <t>ARRAYTOTEXT</t>
  </si>
  <si>
    <t>FILTER</t>
  </si>
  <si>
    <t>RANDARRAY</t>
  </si>
  <si>
    <t>SEQUENCE</t>
  </si>
  <si>
    <t>SORT</t>
  </si>
  <si>
    <t>SORTBY</t>
  </si>
  <si>
    <t>UNIQUE</t>
  </si>
  <si>
    <t>VALUETOTEXT</t>
  </si>
  <si>
    <t>XLOOKUP</t>
  </si>
  <si>
    <t>XMATCH</t>
  </si>
  <si>
    <t>Excel 2021</t>
  </si>
  <si>
    <t>BYCOL</t>
  </si>
  <si>
    <t>BYROW</t>
  </si>
  <si>
    <t>CHOOSECOLS</t>
  </si>
  <si>
    <t>CHOOSEROWS</t>
  </si>
  <si>
    <t>DROP</t>
  </si>
  <si>
    <t>EXPAND</t>
  </si>
  <si>
    <t>FIELDVALUE</t>
  </si>
  <si>
    <t>HSTACK</t>
  </si>
  <si>
    <t>IMAGE</t>
  </si>
  <si>
    <t>ISOMITTED</t>
  </si>
  <si>
    <t>MAKEARRAY</t>
  </si>
  <si>
    <t>MAP</t>
  </si>
  <si>
    <t>REDUCE</t>
  </si>
  <si>
    <t>SCAN</t>
  </si>
  <si>
    <t>STOCKHISTORY</t>
  </si>
  <si>
    <t>TAKE</t>
  </si>
  <si>
    <t>TEXTAFTER</t>
  </si>
  <si>
    <t>TEXTBEFORE</t>
  </si>
  <si>
    <t>TEXTSPLIT</t>
  </si>
  <si>
    <t>TOCOL</t>
  </si>
  <si>
    <t>TOROW</t>
  </si>
  <si>
    <t>VSTACK</t>
  </si>
  <si>
    <t>WRAPCOLS</t>
  </si>
  <si>
    <t>WRAPROWS</t>
  </si>
  <si>
    <t>Excel 2024</t>
  </si>
  <si>
    <t>Excel 365</t>
  </si>
  <si>
    <t>COPILOT</t>
  </si>
  <si>
    <t>DETECTLANGUAGE</t>
  </si>
  <si>
    <t>GROUPBY</t>
  </si>
  <si>
    <t>PERCENTOF</t>
  </si>
  <si>
    <t>PIVOTBY</t>
  </si>
  <si>
    <t>REGEXEXTRACT</t>
  </si>
  <si>
    <t>REGEXREPLACE</t>
  </si>
  <si>
    <t>REGEXTEST</t>
  </si>
  <si>
    <t>TRIMRANGE</t>
  </si>
  <si>
    <r>
      <t xml:space="preserve">LAMBDA </t>
    </r>
    <r>
      <rPr>
        <sz val="11"/>
        <color rgb="FF0070C0"/>
        <rFont val="Aptos Narrow"/>
        <family val="2"/>
        <scheme val="minor"/>
      </rPr>
      <t>&lt;- Allows you to define your own functions.</t>
    </r>
  </si>
  <si>
    <t>Bonus way (CHOOSE)</t>
  </si>
  <si>
    <t>CHOOSE is actually an old function, but I don't see it used often, so just wanted to mention here as a bonus!</t>
  </si>
  <si>
    <t>Alternative to multiple references to same cells / Allows naming interim results.</t>
  </si>
  <si>
    <t>Examples without an equivalent 'Old Way'</t>
  </si>
  <si>
    <t>A</t>
  </si>
  <si>
    <t>B</t>
  </si>
  <si>
    <t>C</t>
  </si>
  <si>
    <t>D</t>
  </si>
  <si>
    <t>E</t>
  </si>
  <si>
    <t>What it does:</t>
  </si>
  <si>
    <t>Provides a sequence of the desired length. There are options to change rows/cols/start/step.</t>
  </si>
  <si>
    <t>Sorts a range based on a different range. (Different from SORT which sorts a range based on a column in that range)</t>
  </si>
  <si>
    <t>Modern version of MATCH. Defaults to exact match (if no match mode supplied). Can be made to search "last to first" which MATCH can't do.</t>
  </si>
  <si>
    <t>Drops the first X rows from a referenced array. (Opposite of TAKE which keeps the first X rows)</t>
  </si>
  <si>
    <t>Joins two or more ranges together side by side. The resulting range can then be used in futher steps (e.g. TAKE)</t>
  </si>
  <si>
    <t>Joins two or more ranges together on top of each other. (Similar to HSTACK)</t>
  </si>
  <si>
    <t>Takes a range and puts elements into a column. (Can choose to scan across or down first)</t>
  </si>
  <si>
    <t>Takes a range and puts elements into a row. (Can choose to scan across or down first)</t>
  </si>
  <si>
    <t>Report Aggregate Totals</t>
  </si>
  <si>
    <t>Report the total by region.</t>
  </si>
  <si>
    <t>Old way (Find unique list first, then SUMIFS)</t>
  </si>
  <si>
    <t>Unique list (found some other way)</t>
  </si>
  <si>
    <t>New way (GROUPBY)</t>
  </si>
  <si>
    <t>Simple SUMIFS based on the region value.</t>
  </si>
  <si>
    <t>Needs you to find the unique list of regions first (see previous tab)</t>
  </si>
  <si>
    <t>Simple single formula, no helpers requried, scales automatically. Finds unique list and SUM in one step.
Options for totals, headings, sorting etc.</t>
  </si>
  <si>
    <t>One way (Pivottable)</t>
  </si>
  <si>
    <t>New way (PIVOTBY)</t>
  </si>
  <si>
    <t>Row Labels</t>
  </si>
  <si>
    <t>(blank)</t>
  </si>
  <si>
    <t>Grand Total</t>
  </si>
  <si>
    <t>Column Labels</t>
  </si>
  <si>
    <t>Manually built piovttable.</t>
  </si>
  <si>
    <t>If you want to change things in the pivottable you need to manually edit it.</t>
  </si>
  <si>
    <t>The pivottable is built using a formula, means you can parameterise options and have the report change based on inputs elsewhere. (e.g. keep multiple pivots in sync)</t>
  </si>
  <si>
    <t>8. Nested IF</t>
  </si>
  <si>
    <t>BONUS 1: New functions list</t>
  </si>
  <si>
    <t>BONUS 2: 2021 Onwards Examples</t>
  </si>
  <si>
    <t>Other New functions from 2021 onwards</t>
  </si>
  <si>
    <t>SUM</t>
  </si>
  <si>
    <t>New way (PIVOTBY w Parameterised aggregation argument)</t>
  </si>
  <si>
    <t>ALSO - The formula is dynamic, so don't need to RIGHT CLICK and REFRESH if data changes!</t>
  </si>
  <si>
    <t>7. Reporting Aggregations</t>
  </si>
  <si>
    <t>#</t>
  </si>
  <si>
    <t>9. Reusing variables</t>
  </si>
  <si>
    <r>
      <t xml:space="preserve">PY </t>
    </r>
    <r>
      <rPr>
        <sz val="11"/>
        <color theme="5" tint="-0.249977111117893"/>
        <rFont val="Aptos Narrow"/>
        <family val="2"/>
        <scheme val="minor"/>
      </rPr>
      <t>&lt;- Allows you to run Python.</t>
    </r>
  </si>
  <si>
    <t>BOLD = Worth learning. Green = Covered today/on Bonus sheet. Blue = LAMBDA and related. Red = Python.</t>
  </si>
  <si>
    <t>Sum of Sales (£)</t>
  </si>
  <si>
    <t>Ben Ducker</t>
  </si>
  <si>
    <t>Principal Consultant</t>
  </si>
  <si>
    <t>Modelling Expert Ltd</t>
  </si>
  <si>
    <t>e: ben.ducker@modellingexpert.co.uk</t>
  </si>
  <si>
    <r>
      <t>m:</t>
    </r>
    <r>
      <rPr>
        <sz val="12"/>
        <color rgb="FF666666"/>
        <rFont val="Aptos"/>
        <family val="2"/>
      </rPr>
      <t> </t>
    </r>
    <r>
      <rPr>
        <sz val="12"/>
        <color rgb="FF52544F"/>
        <rFont val="Aptos"/>
        <family val="2"/>
      </rPr>
      <t>+44 (0) 7874 147 323</t>
    </r>
  </si>
  <si>
    <r>
      <t>t:</t>
    </r>
    <r>
      <rPr>
        <sz val="12"/>
        <color rgb="FF666666"/>
        <rFont val="Aptos"/>
        <family val="2"/>
      </rPr>
      <t> </t>
    </r>
    <r>
      <rPr>
        <sz val="12"/>
        <color rgb="FF52544F"/>
        <rFont val="Aptos"/>
        <family val="2"/>
      </rPr>
      <t>+44 (0) 203 813 0989</t>
    </r>
  </si>
  <si>
    <t>w: www.modellingexpert.co.uk</t>
  </si>
  <si>
    <t>Presenter</t>
  </si>
  <si>
    <t>https://www.linkedin.com/in/bducker/</t>
  </si>
  <si>
    <t>How to use Excel better: Modern tricks for experienced users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</si>
</sst>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_);\(#,##0\);\-_);@"/>
    <numFmt numFmtId="165" formatCode="&quot;Fct&quot;;&quot;Bud&quot;;&quot;Act&quot;"/>
    <numFmt numFmtId="166" formatCode="dd\-mmm\-yy;\-\ ;\-\ "/>
    <numFmt numFmtId="167" formatCode="#,##0_);\(#,##0\);\-_)"/>
    <numFmt numFmtId="168" formatCode="0.0%_);\(0.0%\);\-_)"/>
    <numFmt numFmtId="169" formatCode="#,##0\ ;\(#,##0\);\-\ "/>
    <numFmt numFmtId="170" formatCode="_(* #,##0.00_);_(* \(#,##0.00\);_(* &quot;-&quot;??_);_(@_)"/>
  </numFmts>
  <fonts count="23" x14ac:knownFonts="1">
    <font>
      <sz val="11"/>
      <color theme="1"/>
      <name val="Aptos Narrow"/>
      <family val="2"/>
      <scheme val="minor"/>
    </font>
    <font>
      <sz val="11"/>
      <color theme="1"/>
      <name val="Aptos Narrow"/>
      <family val="2"/>
      <scheme val="minor"/>
    </font>
    <font>
      <b/>
      <sz val="11"/>
      <color theme="1"/>
      <name val="Aptos Narrow"/>
      <family val="2"/>
      <scheme val="minor"/>
    </font>
    <font>
      <sz val="12"/>
      <color theme="1"/>
      <name val="Aptos Narrow"/>
      <family val="2"/>
      <scheme val="minor"/>
    </font>
    <font>
      <sz val="16"/>
      <color rgb="FFFFFFFF"/>
      <name val="Aptos Narrow"/>
      <family val="2"/>
      <scheme val="minor"/>
    </font>
    <font>
      <sz val="13"/>
      <color rgb="FFFFFFFF"/>
      <name val="Aptos Narrow"/>
      <family val="2"/>
      <scheme val="minor"/>
    </font>
    <font>
      <sz val="12"/>
      <color rgb="FFFFFFFF"/>
      <name val="Aptos Narrow"/>
      <family val="2"/>
      <scheme val="minor"/>
    </font>
    <font>
      <sz val="11"/>
      <color rgb="FF52544F"/>
      <name val="Aptos Narrow"/>
      <family val="2"/>
      <scheme val="minor"/>
    </font>
    <font>
      <u/>
      <sz val="9"/>
      <color theme="10"/>
      <name val="Aptos Narrow"/>
      <family val="2"/>
      <scheme val="minor"/>
    </font>
    <font>
      <i/>
      <sz val="11"/>
      <color rgb="FFD19502"/>
      <name val="Aptos Narrow"/>
      <family val="2"/>
      <scheme val="minor"/>
    </font>
    <font>
      <sz val="11"/>
      <color theme="1"/>
      <name val="Calibri"/>
      <family val="2"/>
    </font>
    <font>
      <sz val="8"/>
      <name val="Aptos Narrow"/>
      <family val="2"/>
      <scheme val="minor"/>
    </font>
    <font>
      <u/>
      <sz val="11"/>
      <color theme="10"/>
      <name val="Aptos Narrow"/>
      <family val="2"/>
      <scheme val="minor"/>
    </font>
    <font>
      <b/>
      <sz val="11"/>
      <color rgb="FF0070C0"/>
      <name val="Aptos Narrow"/>
      <family val="2"/>
      <scheme val="minor"/>
    </font>
    <font>
      <sz val="11"/>
      <color rgb="FF0070C0"/>
      <name val="Aptos Narrow"/>
      <family val="2"/>
      <scheme val="minor"/>
    </font>
    <font>
      <sz val="11"/>
      <color theme="5" tint="-0.249977111117893"/>
      <name val="Aptos Narrow"/>
      <family val="2"/>
      <scheme val="minor"/>
    </font>
    <font>
      <b/>
      <sz val="11"/>
      <color theme="5" tint="-0.249977111117893"/>
      <name val="Aptos Narrow"/>
      <family val="2"/>
      <scheme val="minor"/>
    </font>
    <font>
      <b/>
      <sz val="12"/>
      <color rgb="FFFFFFFF"/>
      <name val="Aptos Narrow"/>
      <family val="2"/>
      <scheme val="minor"/>
    </font>
    <font>
      <b/>
      <sz val="12"/>
      <color rgb="FF52544F"/>
      <name val="Aptos"/>
      <family val="2"/>
    </font>
    <font>
      <sz val="12"/>
      <color rgb="FF52544F"/>
      <name val="Aptos"/>
      <family val="2"/>
    </font>
    <font>
      <b/>
      <i/>
      <sz val="12"/>
      <color rgb="FFFDB609"/>
      <name val="Aptos"/>
      <family val="2"/>
    </font>
    <font>
      <sz val="12"/>
      <color rgb="FFFDB609"/>
      <name val="Aptos"/>
      <family val="2"/>
    </font>
    <font>
      <sz val="12"/>
      <color rgb="FF666666"/>
      <name val="Aptos"/>
      <family val="2"/>
    </font>
  </fonts>
  <fills count="14">
    <fill>
      <patternFill patternType="none"/>
    </fill>
    <fill>
      <patternFill patternType="gray125"/>
    </fill>
    <fill>
      <patternFill patternType="solid">
        <fgColor rgb="FFF8F8FF"/>
        <bgColor indexed="64"/>
      </patternFill>
    </fill>
    <fill>
      <patternFill patternType="solid">
        <fgColor rgb="FFF8FFF8"/>
        <bgColor indexed="64"/>
      </patternFill>
    </fill>
    <fill>
      <patternFill patternType="solid">
        <fgColor rgb="FFFEF1B8"/>
        <bgColor indexed="64"/>
      </patternFill>
    </fill>
    <fill>
      <patternFill patternType="solid">
        <fgColor rgb="FF084D68"/>
        <bgColor indexed="64"/>
      </patternFill>
    </fill>
    <fill>
      <patternFill patternType="solid">
        <fgColor theme="7" tint="-0.24994659260841701"/>
        <bgColor indexed="64"/>
      </patternFill>
    </fill>
    <fill>
      <patternFill patternType="solid">
        <fgColor rgb="FF858585"/>
        <bgColor indexed="64"/>
      </patternFill>
    </fill>
    <fill>
      <patternFill patternType="solid">
        <fgColor rgb="FFDDDDDD"/>
        <bgColor indexed="64"/>
      </patternFill>
    </fill>
    <fill>
      <patternFill patternType="solid">
        <fgColor rgb="FFFFFFCC"/>
        <bgColor indexed="64"/>
      </patternFill>
    </fill>
    <fill>
      <patternFill patternType="lightUp">
        <fgColor theme="0" tint="-0.14996795556505021"/>
        <bgColor indexed="65"/>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tint="-4.9989318521683403E-2"/>
        <bgColor indexed="64"/>
      </patternFill>
    </fill>
  </fills>
  <borders count="4">
    <border>
      <left/>
      <right/>
      <top/>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bottom style="thin">
        <color theme="0" tint="-4.9989318521683403E-2"/>
      </bottom>
      <diagonal/>
    </border>
  </borders>
  <cellStyleXfs count="31">
    <xf numFmtId="0" fontId="0" fillId="0" borderId="0"/>
    <xf numFmtId="170" fontId="3" fillId="0" borderId="0" applyFont="0" applyFill="0" applyBorder="0" applyAlignment="0" applyProtection="0"/>
    <xf numFmtId="168" fontId="1" fillId="0" borderId="0" applyFont="0" applyFill="0" applyBorder="0" applyAlignment="0" applyProtection="0"/>
    <xf numFmtId="169" fontId="4" fillId="5" borderId="0"/>
    <xf numFmtId="0" fontId="5" fillId="6" borderId="0">
      <alignment vertical="top"/>
    </xf>
    <xf numFmtId="0" fontId="6" fillId="7" borderId="0">
      <alignment vertical="top"/>
    </xf>
    <xf numFmtId="169" fontId="7" fillId="8" borderId="0"/>
    <xf numFmtId="165" fontId="1" fillId="2" borderId="1"/>
    <xf numFmtId="166" fontId="1" fillId="2" borderId="1"/>
    <xf numFmtId="167" fontId="1" fillId="2" borderId="1"/>
    <xf numFmtId="168" fontId="1" fillId="2" borderId="1"/>
    <xf numFmtId="0" fontId="1" fillId="2" borderId="1"/>
    <xf numFmtId="165" fontId="1" fillId="3" borderId="1"/>
    <xf numFmtId="166" fontId="1" fillId="3" borderId="1"/>
    <xf numFmtId="169" fontId="1" fillId="3" borderId="1"/>
    <xf numFmtId="168" fontId="1" fillId="3" borderId="1"/>
    <xf numFmtId="0" fontId="1" fillId="3" borderId="1"/>
    <xf numFmtId="166" fontId="1" fillId="4" borderId="2">
      <protection locked="0"/>
    </xf>
    <xf numFmtId="167" fontId="1" fillId="4" borderId="2">
      <protection locked="0"/>
    </xf>
    <xf numFmtId="168" fontId="1" fillId="4" borderId="2">
      <protection locked="0"/>
    </xf>
    <xf numFmtId="0" fontId="1" fillId="4" borderId="2">
      <protection locked="0"/>
    </xf>
    <xf numFmtId="0" fontId="8" fillId="0" borderId="0" applyNumberFormat="0" applyFill="0" applyBorder="0" applyAlignment="0" applyProtection="0">
      <alignment vertical="center"/>
    </xf>
    <xf numFmtId="166" fontId="1" fillId="9" borderId="2">
      <protection locked="0"/>
    </xf>
    <xf numFmtId="167" fontId="1" fillId="9" borderId="2">
      <protection locked="0"/>
    </xf>
    <xf numFmtId="168" fontId="1" fillId="9" borderId="2">
      <protection locked="0"/>
    </xf>
    <xf numFmtId="0" fontId="1" fillId="9" borderId="2">
      <protection locked="0"/>
    </xf>
    <xf numFmtId="169" fontId="9" fillId="0" borderId="0"/>
    <xf numFmtId="0" fontId="10" fillId="0" borderId="0"/>
    <xf numFmtId="169" fontId="1" fillId="10" borderId="0"/>
    <xf numFmtId="0" fontId="12" fillId="0" borderId="0" applyNumberFormat="0" applyFill="0" applyBorder="0" applyAlignment="0" applyProtection="0"/>
    <xf numFmtId="9" fontId="1" fillId="0" borderId="0" applyFont="0" applyFill="0" applyBorder="0" applyAlignment="0" applyProtection="0"/>
  </cellStyleXfs>
  <cellXfs count="67">
    <xf numFmtId="0" fontId="0" fillId="0" borderId="0" xfId="0"/>
    <xf numFmtId="164" fontId="0" fillId="0" borderId="0" xfId="0" applyNumberFormat="1"/>
    <xf numFmtId="169" fontId="4" fillId="5" borderId="0" xfId="3"/>
    <xf numFmtId="0" fontId="1" fillId="9" borderId="2" xfId="25">
      <protection locked="0"/>
    </xf>
    <xf numFmtId="0" fontId="5" fillId="6" borderId="0" xfId="4">
      <alignment vertical="top"/>
    </xf>
    <xf numFmtId="0" fontId="1" fillId="2" borderId="1" xfId="11"/>
    <xf numFmtId="0" fontId="6" fillId="7" borderId="0" xfId="5">
      <alignment vertical="top"/>
    </xf>
    <xf numFmtId="164" fontId="2" fillId="0" borderId="0" xfId="0" applyNumberFormat="1" applyFont="1"/>
    <xf numFmtId="169" fontId="9" fillId="0" borderId="0" xfId="26"/>
    <xf numFmtId="0" fontId="1" fillId="2" borderId="0" xfId="11" applyBorder="1"/>
    <xf numFmtId="169" fontId="9" fillId="0" borderId="0" xfId="26" applyAlignment="1">
      <alignment wrapText="1"/>
    </xf>
    <xf numFmtId="169" fontId="9" fillId="0" borderId="0" xfId="26" applyAlignment="1">
      <alignment horizontal="right" wrapText="1"/>
    </xf>
    <xf numFmtId="164" fontId="0" fillId="0" borderId="0" xfId="0" applyNumberFormat="1" applyAlignment="1">
      <alignment vertical="top"/>
    </xf>
    <xf numFmtId="164" fontId="2" fillId="0" borderId="0" xfId="0" applyNumberFormat="1" applyFont="1" applyAlignment="1">
      <alignment horizontal="right" vertical="top"/>
    </xf>
    <xf numFmtId="169" fontId="9" fillId="0" borderId="0" xfId="26" applyAlignment="1">
      <alignment horizontal="left"/>
    </xf>
    <xf numFmtId="0" fontId="5" fillId="6" borderId="0" xfId="4" applyAlignment="1">
      <alignment horizontal="left" vertical="top"/>
    </xf>
    <xf numFmtId="0" fontId="6" fillId="7" borderId="0" xfId="5" applyAlignment="1">
      <alignment horizontal="left" vertical="top"/>
    </xf>
    <xf numFmtId="169" fontId="9" fillId="0" borderId="0" xfId="26" applyAlignment="1">
      <alignment horizontal="left" wrapText="1"/>
    </xf>
    <xf numFmtId="164" fontId="0" fillId="0" borderId="0" xfId="0" applyNumberFormat="1" applyAlignment="1">
      <alignment horizontal="left" vertical="top"/>
    </xf>
    <xf numFmtId="169" fontId="4" fillId="5" borderId="0" xfId="3" applyAlignment="1">
      <alignment vertical="top"/>
    </xf>
    <xf numFmtId="169" fontId="4" fillId="5" borderId="0" xfId="3" applyAlignment="1">
      <alignment horizontal="left" vertical="top"/>
    </xf>
    <xf numFmtId="164" fontId="2" fillId="0" borderId="0" xfId="0" applyNumberFormat="1" applyFont="1" applyAlignment="1">
      <alignment vertical="top" wrapText="1"/>
    </xf>
    <xf numFmtId="164" fontId="2" fillId="0" borderId="0" xfId="0" applyNumberFormat="1" applyFont="1" applyAlignment="1">
      <alignment horizontal="left" vertical="top" wrapText="1"/>
    </xf>
    <xf numFmtId="164" fontId="2" fillId="0" borderId="0" xfId="0" applyNumberFormat="1" applyFont="1" applyAlignment="1">
      <alignment horizontal="right" vertical="top" wrapText="1"/>
    </xf>
    <xf numFmtId="167" fontId="1" fillId="9" borderId="2" xfId="23" applyAlignment="1">
      <alignment vertical="top"/>
      <protection locked="0"/>
    </xf>
    <xf numFmtId="0" fontId="1" fillId="9" borderId="2" xfId="25" applyAlignment="1">
      <alignment vertical="top"/>
      <protection locked="0"/>
    </xf>
    <xf numFmtId="167" fontId="1" fillId="2" borderId="1" xfId="9" applyAlignment="1">
      <alignment vertical="top"/>
    </xf>
    <xf numFmtId="164" fontId="2" fillId="0" borderId="0" xfId="0" applyNumberFormat="1" applyFont="1" applyAlignment="1">
      <alignment vertical="top"/>
    </xf>
    <xf numFmtId="167" fontId="1" fillId="9" borderId="2" xfId="23">
      <protection locked="0"/>
    </xf>
    <xf numFmtId="0" fontId="2" fillId="0" borderId="0" xfId="0" applyFont="1"/>
    <xf numFmtId="164" fontId="0" fillId="0" borderId="0" xfId="0" applyNumberFormat="1" applyAlignment="1">
      <alignment horizontal="left" vertical="top" wrapText="1"/>
    </xf>
    <xf numFmtId="168" fontId="0" fillId="0" borderId="0" xfId="2" applyFont="1" applyBorder="1" applyAlignment="1">
      <alignment vertical="top"/>
    </xf>
    <xf numFmtId="164" fontId="0" fillId="0" borderId="0" xfId="0" applyNumberFormat="1" applyAlignment="1">
      <alignment vertical="top" wrapText="1"/>
    </xf>
    <xf numFmtId="0" fontId="12" fillId="0" borderId="0" xfId="29"/>
    <xf numFmtId="0" fontId="0" fillId="0" borderId="0" xfId="0" applyAlignment="1">
      <alignment vertical="top"/>
    </xf>
    <xf numFmtId="164" fontId="0" fillId="0" borderId="0" xfId="0" applyNumberFormat="1" applyAlignment="1">
      <alignment horizontal="right" vertical="top"/>
    </xf>
    <xf numFmtId="0" fontId="2" fillId="0" borderId="0" xfId="0" applyFont="1" applyAlignment="1">
      <alignment vertical="top"/>
    </xf>
    <xf numFmtId="169" fontId="4" fillId="5" borderId="0" xfId="3" applyAlignment="1">
      <alignment wrapText="1"/>
    </xf>
    <xf numFmtId="0" fontId="0" fillId="0" borderId="0" xfId="0" applyAlignment="1">
      <alignment wrapText="1"/>
    </xf>
    <xf numFmtId="0" fontId="13" fillId="0" borderId="0" xfId="0" applyFont="1"/>
    <xf numFmtId="0" fontId="14" fillId="0" borderId="0" xfId="0" applyFont="1"/>
    <xf numFmtId="0" fontId="15" fillId="0" borderId="0" xfId="0" applyFont="1"/>
    <xf numFmtId="0" fontId="16" fillId="0" borderId="0" xfId="0" applyFont="1"/>
    <xf numFmtId="0" fontId="2" fillId="11" borderId="0" xfId="0" applyFont="1" applyFill="1"/>
    <xf numFmtId="169" fontId="7" fillId="8" borderId="0" xfId="6"/>
    <xf numFmtId="0" fontId="0" fillId="9" borderId="2" xfId="25" applyFont="1">
      <protection locked="0"/>
    </xf>
    <xf numFmtId="0" fontId="17" fillId="7" borderId="0" xfId="5" applyFont="1">
      <alignment vertical="top"/>
    </xf>
    <xf numFmtId="0" fontId="0" fillId="0" borderId="0" xfId="0" applyAlignment="1">
      <alignment horizontal="center" vertical="top"/>
    </xf>
    <xf numFmtId="0" fontId="0" fillId="9" borderId="2" xfId="25" applyFont="1" applyAlignment="1">
      <alignment horizontal="center"/>
      <protection locked="0"/>
    </xf>
    <xf numFmtId="167" fontId="1" fillId="0" borderId="1" xfId="9" applyFill="1" applyAlignment="1">
      <alignment vertical="top"/>
    </xf>
    <xf numFmtId="0" fontId="0" fillId="0" borderId="0" xfId="0" pivotButton="1"/>
    <xf numFmtId="0" fontId="0" fillId="0" borderId="0" xfId="0" applyAlignment="1">
      <alignment horizontal="left"/>
    </xf>
    <xf numFmtId="0" fontId="2" fillId="12" borderId="0" xfId="0" applyFont="1" applyFill="1"/>
    <xf numFmtId="0" fontId="0" fillId="13" borderId="0" xfId="0" applyFill="1"/>
    <xf numFmtId="0" fontId="19" fillId="13" borderId="0" xfId="0" applyFont="1" applyFill="1" applyAlignment="1">
      <alignment horizontal="right" vertical="center"/>
    </xf>
    <xf numFmtId="0" fontId="18" fillId="13" borderId="0" xfId="0" applyFont="1" applyFill="1" applyAlignment="1">
      <alignment horizontal="right" vertical="center"/>
    </xf>
    <xf numFmtId="0" fontId="20" fillId="13" borderId="0" xfId="0" applyFont="1" applyFill="1" applyAlignment="1">
      <alignment horizontal="right" vertical="center"/>
    </xf>
    <xf numFmtId="0" fontId="12" fillId="13" borderId="0" xfId="29" applyFill="1" applyAlignment="1">
      <alignment horizontal="right" vertical="center"/>
    </xf>
    <xf numFmtId="0" fontId="21" fillId="13" borderId="0" xfId="0" applyFont="1" applyFill="1" applyAlignment="1">
      <alignment horizontal="right" vertical="center"/>
    </xf>
    <xf numFmtId="0" fontId="0" fillId="13" borderId="0" xfId="0" applyFill="1" applyAlignment="1">
      <alignment horizontal="left" indent="3"/>
    </xf>
    <xf numFmtId="0" fontId="18" fillId="13" borderId="0" xfId="0" applyFont="1" applyFill="1" applyAlignment="1">
      <alignment horizontal="left" vertical="center" indent="3"/>
    </xf>
    <xf numFmtId="0" fontId="19" fillId="13" borderId="0" xfId="0" applyFont="1" applyFill="1" applyAlignment="1">
      <alignment horizontal="left" vertical="center" indent="3"/>
    </xf>
    <xf numFmtId="0" fontId="20" fillId="13" borderId="0" xfId="0" applyFont="1" applyFill="1" applyAlignment="1">
      <alignment horizontal="left" vertical="center" indent="3"/>
    </xf>
    <xf numFmtId="0" fontId="12" fillId="13" borderId="0" xfId="29" applyFill="1" applyAlignment="1">
      <alignment horizontal="left" vertical="center" indent="3"/>
    </xf>
    <xf numFmtId="0" fontId="21" fillId="13" borderId="0" xfId="0" applyFont="1" applyFill="1" applyAlignment="1">
      <alignment horizontal="left" vertical="center" indent="3"/>
    </xf>
    <xf numFmtId="169" fontId="9" fillId="0" borderId="3" xfId="26" applyBorder="1" applyAlignment="1">
      <alignment horizontal="left" vertical="top" wrapText="1"/>
    </xf>
    <xf numFmtId="164" fontId="0" fillId="0" borderId="0" xfId="0" applyNumberFormat="1" applyAlignment="1">
      <alignment horizontal="left" vertical="top" wrapText="1"/>
    </xf>
  </cellXfs>
  <cellStyles count="31">
    <cellStyle name="Calc - ActFctBud" xfId="7" xr:uid="{9D3B2217-BEC6-490B-BC0E-D6FBA8D24D83}"/>
    <cellStyle name="Calcs - date" xfId="8" xr:uid="{6161C75C-E188-4A65-8982-E06026066402}"/>
    <cellStyle name="Calcs - number" xfId="9" xr:uid="{570C46FA-1C2E-4CEE-ACA4-58A7FA57C2BF}"/>
    <cellStyle name="Calcs - percentage" xfId="10" xr:uid="{CC38EDC0-2A11-4C8C-9F6A-3CC4A76282FD}"/>
    <cellStyle name="Calcs - text" xfId="11" xr:uid="{832E44F2-E039-4EFC-9FD7-C937046BFFE0}"/>
    <cellStyle name="Call up - ActFctBud" xfId="12" xr:uid="{FFC24B24-44CA-4EF5-94FC-070682FC8133}"/>
    <cellStyle name="Call up - date" xfId="13" xr:uid="{F2F314DA-8C51-4C47-9280-346650AFF410}"/>
    <cellStyle name="Call up - Number" xfId="14" xr:uid="{B33C2580-D0E1-4281-A260-6F6DF348DA9C}"/>
    <cellStyle name="Call up - percentage" xfId="15" xr:uid="{40FD5196-102F-43CA-930D-957632EA21E7}"/>
    <cellStyle name="Call up - text" xfId="16" xr:uid="{79F19B78-0D54-4BA6-9E29-5DA66AA8CE13}"/>
    <cellStyle name="Comma" xfId="1" builtinId="3" customBuiltin="1"/>
    <cellStyle name="Const - date" xfId="17" xr:uid="{F555D180-ACBD-4243-9FF5-C890B2057AAF}"/>
    <cellStyle name="Const - number" xfId="18" xr:uid="{DBB70144-3746-4F1B-94CA-C93C50305E9C}"/>
    <cellStyle name="Const - percentage" xfId="19" xr:uid="{73BCD900-7C2E-4E81-9B7E-C58223C9EB48}"/>
    <cellStyle name="Const - text" xfId="20" xr:uid="{4DFB4D6B-4EC2-4C01-A0CB-21E11816C89F}"/>
    <cellStyle name="Heading 1" xfId="3" builtinId="16" customBuiltin="1"/>
    <cellStyle name="Heading 2" xfId="4" builtinId="17" customBuiltin="1"/>
    <cellStyle name="Heading 3" xfId="5" builtinId="18" customBuiltin="1"/>
    <cellStyle name="Heading 4" xfId="6" builtinId="19" customBuiltin="1"/>
    <cellStyle name="Hyperlink" xfId="29" builtinId="8"/>
    <cellStyle name="Hyperlink 2" xfId="21" xr:uid="{CD98CB9B-2B96-4789-A2BE-572480ED725B}"/>
    <cellStyle name="Input - date" xfId="22" xr:uid="{923443BB-BB2A-4C01-B376-152FFF7CA64C}"/>
    <cellStyle name="Input - number" xfId="23" xr:uid="{6A5204E9-6F4D-4A2D-83D4-6D1DA688F012}"/>
    <cellStyle name="Input - percent" xfId="24" xr:uid="{EBD7B772-0662-4F5B-A249-BB538E2846BD}"/>
    <cellStyle name="Input - text" xfId="25" xr:uid="{5223EF9D-081F-4117-AF0F-863DF0A634DF}"/>
    <cellStyle name="Instructions" xfId="26" xr:uid="{19DA33EA-5F7D-4772-9018-1F8D2F4CCE52}"/>
    <cellStyle name="Normal" xfId="0" builtinId="0"/>
    <cellStyle name="Normal 3" xfId="27" xr:uid="{3DC57A4C-19F1-40D8-9D30-9C8E22200235}"/>
    <cellStyle name="Percent" xfId="2" builtinId="5" customBuiltin="1"/>
    <cellStyle name="Percent 2" xfId="30" xr:uid="{AD05C194-1ECA-427C-A035-0A23AEA6F70D}"/>
    <cellStyle name="Unused" xfId="28" xr:uid="{DAB40F66-56CC-4731-B996-B694FFE27FE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187099</xdr:colOff>
      <xdr:row>3</xdr:row>
      <xdr:rowOff>42749</xdr:rowOff>
    </xdr:from>
    <xdr:to>
      <xdr:col>2</xdr:col>
      <xdr:colOff>142874</xdr:colOff>
      <xdr:row>9</xdr:row>
      <xdr:rowOff>187981</xdr:rowOff>
    </xdr:to>
    <xdr:pic>
      <xdr:nvPicPr>
        <xdr:cNvPr id="8" name="Picture 7">
          <a:extLst>
            <a:ext uri="{FF2B5EF4-FFF2-40B4-BE49-F238E27FC236}">
              <a16:creationId xmlns:a16="http://schemas.microsoft.com/office/drawing/2014/main" id="{AE0A9D8A-6FDB-C53F-D235-5C143C1608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5193" y="725374"/>
          <a:ext cx="2483869" cy="133982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modellingexpert-my.sharepoint.com/personal/ben_ducker_modellingexpert_co_uk/Documents/Documents/Marketing/ICAEW%20Promotional/Articles/2025-03%20Tips%20via%20Hack/Intermediate%20+%20advanced%20tips%20demo%20file%202026%2002%2018%20-%20demo%20-%20test%20article.xlsx" TargetMode="External"/><Relationship Id="rId2" Type="http://schemas.microsoft.com/office/2019/04/relationships/externalLinkLongPath" Target="/personal/ben_ducker_modellingexpert_co_uk/Documents/Documents/Marketing/ICAEW%20Promotional/Articles/2025-03%20Tips%20via%20Hack/Intermediate%20+%20advanced%20tips%20demo%20file%202026%2002%2018%20-%20demo%20-%20test%20article.xlsx?53D18719" TargetMode="External"/><Relationship Id="rId1" Type="http://schemas.openxmlformats.org/officeDocument/2006/relationships/externalLinkPath" Target="file:///\\53D18719\Intermediate%20+%20advanced%20tips%20demo%20file%202026%2002%2018%20-%20demo%20-%20test%20article.xlsx" TargetMode="External"/><Relationship Id="rId4" Type="http://schemas.openxmlformats.org/officeDocument/2006/relationships/externalLinkPath" Target="../../Articles/2025-03%20Tips%20via%20Hack/Intermediate%20+%20advanced%20tips%20demo%20file%202026%2002%2018%20-%20demo%20-%20test%20artic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relativeUrl r:id="rId4"/>
    </xxl21:alternateUrls>
    <sheetNames>
      <sheetName val="Intermediate"/>
      <sheetName val="Advanced 1"/>
      <sheetName val="Advanced 2"/>
      <sheetName val="Advanced 3"/>
    </sheetNames>
    <sheetDataSet>
      <sheetData sheetId="0">
        <row r="3">
          <cell r="C3">
            <v>0.05</v>
          </cell>
        </row>
      </sheetData>
      <sheetData sheetId="1" refreshError="1"/>
      <sheetData sheetId="2" refreshError="1"/>
      <sheetData sheetId="3"/>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en Ducker" refreshedDate="46106.375873495374" createdVersion="8" refreshedVersion="8" minRefreshableVersion="3" recordCount="21" xr:uid="{DD501477-D571-4AB3-BF32-D5E0256640E1}">
  <cacheSource type="worksheet">
    <worksheetSource ref="A4:C25" sheet="7.2 Report Aggregates (cont)"/>
  </cacheSource>
  <cacheFields count="3">
    <cacheField name="Salesperson" numFmtId="0">
      <sharedItems containsBlank="1" count="21">
        <m/>
        <s v="James Carter"/>
        <s v="Amelia Khan"/>
        <s v="Sophia Patel"/>
        <s v="Emily Watson" u="1"/>
        <s v="Oliver Hughes" u="1"/>
        <s v="Harry Collins" u="1"/>
        <s v="Jack Turner" u="1"/>
        <s v="Isla Bennett" u="1"/>
        <s v="George Murphy" u="1"/>
        <s v="Mia Cooper" u="1"/>
        <s v="Noah Bailey" u="1"/>
        <s v="Ava Richardson" u="1"/>
        <s v="Leo Ward" u="1"/>
        <s v="Grace Foster" u="1"/>
        <s v="Charlie Price" u="1"/>
        <s v="Evie Brooks" u="1"/>
        <s v="Oscar Reed" u="1"/>
        <s v="Lily Cox" u="1"/>
        <s v="Freddie Gray" u="1"/>
        <s v="Ella Morris" u="1"/>
      </sharedItems>
    </cacheField>
    <cacheField name="Region" numFmtId="0">
      <sharedItems containsBlank="1" count="6">
        <m/>
        <s v="London"/>
        <s v="Leeds"/>
        <s v="Manchester" u="1"/>
        <s v="Birmingham" u="1"/>
        <s v="Bristol" u="1"/>
      </sharedItems>
    </cacheField>
    <cacheField name="Sales (£)" numFmtId="0">
      <sharedItems containsString="0" containsBlank="1" containsNumber="1" containsInteger="1" minValue="10000" maxValue="2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
  <r>
    <x v="0"/>
    <x v="0"/>
    <m/>
  </r>
  <r>
    <x v="1"/>
    <x v="1"/>
    <n v="14000"/>
  </r>
  <r>
    <x v="1"/>
    <x v="1"/>
    <n v="15000"/>
  </r>
  <r>
    <x v="1"/>
    <x v="1"/>
    <n v="15000"/>
  </r>
  <r>
    <x v="1"/>
    <x v="1"/>
    <n v="19000"/>
  </r>
  <r>
    <x v="1"/>
    <x v="1"/>
    <n v="17000"/>
  </r>
  <r>
    <x v="2"/>
    <x v="2"/>
    <n v="10000"/>
  </r>
  <r>
    <x v="2"/>
    <x v="2"/>
    <n v="13000"/>
  </r>
  <r>
    <x v="2"/>
    <x v="2"/>
    <n v="11000"/>
  </r>
  <r>
    <x v="2"/>
    <x v="2"/>
    <n v="13000"/>
  </r>
  <r>
    <x v="2"/>
    <x v="2"/>
    <n v="19000"/>
  </r>
  <r>
    <x v="2"/>
    <x v="2"/>
    <n v="15000"/>
  </r>
  <r>
    <x v="2"/>
    <x v="2"/>
    <n v="14000"/>
  </r>
  <r>
    <x v="3"/>
    <x v="1"/>
    <n v="14000"/>
  </r>
  <r>
    <x v="3"/>
    <x v="1"/>
    <n v="13000"/>
  </r>
  <r>
    <x v="3"/>
    <x v="1"/>
    <n v="17000"/>
  </r>
  <r>
    <x v="3"/>
    <x v="1"/>
    <n v="20000"/>
  </r>
  <r>
    <x v="3"/>
    <x v="1"/>
    <n v="15000"/>
  </r>
  <r>
    <x v="3"/>
    <x v="1"/>
    <n v="16000"/>
  </r>
  <r>
    <x v="3"/>
    <x v="1"/>
    <n v="13000"/>
  </r>
  <r>
    <x v="3"/>
    <x v="1"/>
    <n v="190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583AC24-45F2-4C80-B22B-4E1341C50CB5}" name="PivotTable1" cacheId="1" applyNumberFormats="0" applyBorderFormats="0" applyFontFormats="0" applyPatternFormats="0" applyAlignmentFormats="0" applyWidthHeightFormats="1" dataCaption="Values" updatedVersion="8" minRefreshableVersion="3" itemPrintTitles="1" createdVersion="8" indent="0" outline="1" outlineData="1" multipleFieldFilters="0">
  <location ref="E5:I11" firstHeaderRow="1" firstDataRow="2" firstDataCol="1"/>
  <pivotFields count="3">
    <pivotField axis="axisRow" showAll="0">
      <items count="22">
        <item x="2"/>
        <item m="1" x="12"/>
        <item m="1" x="15"/>
        <item m="1" x="20"/>
        <item m="1" x="4"/>
        <item m="1" x="16"/>
        <item m="1" x="19"/>
        <item m="1" x="9"/>
        <item m="1" x="14"/>
        <item m="1" x="6"/>
        <item m="1" x="8"/>
        <item m="1" x="7"/>
        <item x="1"/>
        <item m="1" x="13"/>
        <item m="1" x="18"/>
        <item m="1" x="10"/>
        <item m="1" x="11"/>
        <item m="1" x="5"/>
        <item m="1" x="17"/>
        <item x="3"/>
        <item x="0"/>
        <item t="default"/>
      </items>
    </pivotField>
    <pivotField axis="axisCol" showAll="0">
      <items count="7">
        <item m="1" x="4"/>
        <item m="1" x="5"/>
        <item x="2"/>
        <item x="1"/>
        <item m="1" x="3"/>
        <item x="0"/>
        <item t="default"/>
      </items>
    </pivotField>
    <pivotField dataField="1" showAll="0"/>
  </pivotFields>
  <rowFields count="1">
    <field x="0"/>
  </rowFields>
  <rowItems count="5">
    <i>
      <x/>
    </i>
    <i>
      <x v="12"/>
    </i>
    <i>
      <x v="19"/>
    </i>
    <i>
      <x v="20"/>
    </i>
    <i t="grand">
      <x/>
    </i>
  </rowItems>
  <colFields count="1">
    <field x="1"/>
  </colFields>
  <colItems count="4">
    <i>
      <x v="2"/>
    </i>
    <i>
      <x v="3"/>
    </i>
    <i>
      <x v="5"/>
    </i>
    <i t="grand">
      <x/>
    </i>
  </colItems>
  <dataFields count="1">
    <dataField name="Sum of Sales (£)" fld="2" baseField="0" baseItem="19"/>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linkedin.com/in/bducker/" TargetMode="External"/><Relationship Id="rId2" Type="http://schemas.openxmlformats.org/officeDocument/2006/relationships/hyperlink" Target="http://www.modellingexpert.co.uk/" TargetMode="External"/><Relationship Id="rId1" Type="http://schemas.openxmlformats.org/officeDocument/2006/relationships/hyperlink" Target="mailto:ben.ducker@modellingexpert.co.uk" TargetMode="External"/><Relationship Id="rId4"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972DD-5004-409E-88A3-BB4E7C53581C}">
  <sheetPr codeName="Sheet7"/>
  <dimension ref="A1:B29"/>
  <sheetViews>
    <sheetView showGridLines="0" tabSelected="1" zoomScale="160" zoomScaleNormal="160" workbookViewId="0">
      <selection activeCell="G10" sqref="G10"/>
    </sheetView>
  </sheetViews>
  <sheetFormatPr defaultRowHeight="14.5" x14ac:dyDescent="0.35"/>
  <cols>
    <col min="1" max="2" width="36.1796875" customWidth="1"/>
  </cols>
  <sheetData>
    <row r="1" spans="1:2" ht="21" x14ac:dyDescent="0.5">
      <c r="A1" s="2" t="s">
        <v>445</v>
      </c>
      <c r="B1" s="2"/>
    </row>
    <row r="2" spans="1:2" ht="17" x14ac:dyDescent="0.35">
      <c r="A2" s="4" t="s">
        <v>443</v>
      </c>
      <c r="B2" s="4"/>
    </row>
    <row r="3" spans="1:2" ht="16" x14ac:dyDescent="0.35">
      <c r="A3" s="54"/>
      <c r="B3" s="54"/>
    </row>
    <row r="4" spans="1:2" ht="16" x14ac:dyDescent="0.35">
      <c r="A4" s="60" t="s">
        <v>436</v>
      </c>
      <c r="B4" s="55"/>
    </row>
    <row r="5" spans="1:2" ht="16" x14ac:dyDescent="0.35">
      <c r="A5" s="61" t="s">
        <v>437</v>
      </c>
      <c r="B5" s="54"/>
    </row>
    <row r="6" spans="1:2" ht="16" x14ac:dyDescent="0.35">
      <c r="A6" s="61"/>
      <c r="B6" s="54"/>
    </row>
    <row r="7" spans="1:2" ht="16" x14ac:dyDescent="0.35">
      <c r="A7" s="62" t="s">
        <v>438</v>
      </c>
      <c r="B7" s="56"/>
    </row>
    <row r="8" spans="1:2" x14ac:dyDescent="0.35">
      <c r="A8" s="63" t="s">
        <v>439</v>
      </c>
      <c r="B8" s="57"/>
    </row>
    <row r="9" spans="1:2" ht="16" x14ac:dyDescent="0.35">
      <c r="A9" s="64" t="s">
        <v>440</v>
      </c>
      <c r="B9" s="58"/>
    </row>
    <row r="10" spans="1:2" ht="16" x14ac:dyDescent="0.35">
      <c r="A10" s="64" t="s">
        <v>441</v>
      </c>
      <c r="B10" s="58"/>
    </row>
    <row r="11" spans="1:2" x14ac:dyDescent="0.35">
      <c r="A11" s="63" t="s">
        <v>444</v>
      </c>
      <c r="B11" s="57"/>
    </row>
    <row r="12" spans="1:2" x14ac:dyDescent="0.35">
      <c r="A12" s="63" t="s">
        <v>442</v>
      </c>
      <c r="B12" s="57"/>
    </row>
    <row r="13" spans="1:2" x14ac:dyDescent="0.35">
      <c r="A13" s="53"/>
      <c r="B13" s="53"/>
    </row>
    <row r="15" spans="1:2" ht="17" x14ac:dyDescent="0.35">
      <c r="A15" s="4" t="s">
        <v>115</v>
      </c>
      <c r="B15" s="4"/>
    </row>
    <row r="16" spans="1:2" x14ac:dyDescent="0.35">
      <c r="A16" s="59" t="s">
        <v>188</v>
      </c>
      <c r="B16" s="53"/>
    </row>
    <row r="17" spans="1:2" x14ac:dyDescent="0.35">
      <c r="A17" s="59" t="s">
        <v>182</v>
      </c>
      <c r="B17" s="53"/>
    </row>
    <row r="18" spans="1:2" x14ac:dyDescent="0.35">
      <c r="A18" s="59" t="s">
        <v>183</v>
      </c>
      <c r="B18" s="53"/>
    </row>
    <row r="19" spans="1:2" x14ac:dyDescent="0.35">
      <c r="A19" s="59" t="s">
        <v>184</v>
      </c>
      <c r="B19" s="53"/>
    </row>
    <row r="20" spans="1:2" x14ac:dyDescent="0.35">
      <c r="A20" s="59" t="s">
        <v>185</v>
      </c>
      <c r="B20" s="53"/>
    </row>
    <row r="21" spans="1:2" x14ac:dyDescent="0.35">
      <c r="A21" s="59" t="s">
        <v>186</v>
      </c>
      <c r="B21" s="53"/>
    </row>
    <row r="22" spans="1:2" x14ac:dyDescent="0.35">
      <c r="A22" s="59" t="s">
        <v>187</v>
      </c>
      <c r="B22" s="53"/>
    </row>
    <row r="23" spans="1:2" x14ac:dyDescent="0.35">
      <c r="A23" s="59" t="s">
        <v>430</v>
      </c>
      <c r="B23" s="53"/>
    </row>
    <row r="24" spans="1:2" x14ac:dyDescent="0.35">
      <c r="A24" s="59" t="s">
        <v>423</v>
      </c>
      <c r="B24" s="53"/>
    </row>
    <row r="25" spans="1:2" x14ac:dyDescent="0.35">
      <c r="A25" s="59" t="s">
        <v>432</v>
      </c>
      <c r="B25" s="53"/>
    </row>
    <row r="26" spans="1:2" x14ac:dyDescent="0.35">
      <c r="A26" s="59" t="s">
        <v>181</v>
      </c>
      <c r="B26" s="53"/>
    </row>
    <row r="27" spans="1:2" x14ac:dyDescent="0.35">
      <c r="A27" s="59" t="s">
        <v>424</v>
      </c>
      <c r="B27" s="53"/>
    </row>
    <row r="28" spans="1:2" x14ac:dyDescent="0.35">
      <c r="A28" s="59" t="s">
        <v>425</v>
      </c>
      <c r="B28" s="53"/>
    </row>
    <row r="29" spans="1:2" x14ac:dyDescent="0.35">
      <c r="A29" s="53"/>
      <c r="B29" s="53"/>
    </row>
  </sheetData>
  <hyperlinks>
    <hyperlink ref="A8" r:id="rId1" tooltip="mailto:ben.ducker@modellingexpert.co.uk" display="mailto:ben.ducker@modellingexpert.co.uk" xr:uid="{10D07AB5-4A56-46DB-83DF-37A337C31E85}"/>
    <hyperlink ref="A12" r:id="rId2" tooltip="http://www.modellingexpert.co.uk" display="http://www.modellingexpert.co.uk/" xr:uid="{F2EB656C-EBF8-4D48-83E7-13C34C181C46}"/>
    <hyperlink ref="A11" r:id="rId3" xr:uid="{7175274A-EC43-4002-9780-E8B5C6374309}"/>
  </hyperlinks>
  <pageMargins left="0.7" right="0.7" top="0.75" bottom="0.75" header="0.3" footer="0.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59A3A-51AE-49BC-A978-A07A350618D3}">
  <dimension ref="A1:J29"/>
  <sheetViews>
    <sheetView zoomScale="130" zoomScaleNormal="130" workbookViewId="0">
      <pane xSplit="3" ySplit="1" topLeftCell="D2" activePane="bottomRight" state="frozen"/>
      <selection activeCell="H20" sqref="H20"/>
      <selection pane="topRight" activeCell="H20" sqref="H20"/>
      <selection pane="bottomLeft" activeCell="H20" sqref="H20"/>
      <selection pane="bottomRight" activeCell="D2" sqref="D2"/>
    </sheetView>
  </sheetViews>
  <sheetFormatPr defaultColWidth="8.90625" defaultRowHeight="14.5" x14ac:dyDescent="0.35"/>
  <cols>
    <col min="1" max="3" width="16.453125" style="12" customWidth="1"/>
    <col min="4" max="4" width="1.90625" style="12" customWidth="1"/>
    <col min="5" max="5" width="21.36328125" style="12" customWidth="1"/>
    <col min="6" max="6" width="17.6328125" style="12" customWidth="1"/>
    <col min="7" max="7" width="2" style="12" customWidth="1"/>
    <col min="8" max="8" width="18.453125" style="12" customWidth="1"/>
    <col min="9" max="9" width="22.54296875" style="12" customWidth="1"/>
    <col min="10" max="10" width="2" style="12" customWidth="1"/>
    <col min="11" max="16384" width="8.90625" style="12"/>
  </cols>
  <sheetData>
    <row r="1" spans="1:9" s="19" customFormat="1" ht="21" x14ac:dyDescent="0.35">
      <c r="A1" s="19" t="s">
        <v>406</v>
      </c>
    </row>
    <row r="2" spans="1:9" s="4" customFormat="1" ht="17" x14ac:dyDescent="0.35">
      <c r="A2" s="4" t="s">
        <v>407</v>
      </c>
    </row>
    <row r="3" spans="1:9" ht="16" x14ac:dyDescent="0.35">
      <c r="A3" s="6" t="s">
        <v>13</v>
      </c>
      <c r="B3" s="6"/>
      <c r="C3" s="6"/>
      <c r="E3" s="6" t="s">
        <v>408</v>
      </c>
      <c r="F3" s="6"/>
      <c r="H3" s="6" t="s">
        <v>410</v>
      </c>
      <c r="I3" s="6"/>
    </row>
    <row r="4" spans="1:9" s="21" customFormat="1" x14ac:dyDescent="0.35">
      <c r="A4" s="21" t="s">
        <v>56</v>
      </c>
      <c r="B4" s="21" t="s">
        <v>57</v>
      </c>
      <c r="C4" s="21" t="s">
        <v>58</v>
      </c>
      <c r="E4" s="21" t="s">
        <v>57</v>
      </c>
      <c r="F4" s="21" t="s">
        <v>58</v>
      </c>
      <c r="H4" s="21" t="s">
        <v>57</v>
      </c>
      <c r="I4" s="21" t="s">
        <v>58</v>
      </c>
    </row>
    <row r="5" spans="1:9" s="10" customFormat="1" ht="29" x14ac:dyDescent="0.35">
      <c r="E5" s="11" t="s">
        <v>409</v>
      </c>
      <c r="F5" s="11" t="str">
        <f ca="1">_xlfn.FORMULATEXT(F6)</f>
        <v>=SUMIFS($C$6:$C$25,$B$6:$B$25,$E6)</v>
      </c>
      <c r="H5" s="11" t="str">
        <f ca="1">_xlfn.FORMULATEXT(H6)</f>
        <v>=GROUPBY(B6:B25, C6:C25, SUM)</v>
      </c>
    </row>
    <row r="6" spans="1:9" x14ac:dyDescent="0.35">
      <c r="A6" s="25" t="s">
        <v>59</v>
      </c>
      <c r="B6" s="25" t="s">
        <v>60</v>
      </c>
      <c r="C6" s="24">
        <v>84250</v>
      </c>
      <c r="E6" s="12" t="s">
        <v>60</v>
      </c>
      <c r="F6" s="12">
        <f>SUMIFS($C$6:$C$25,$B$6:$B$25,$E6)</f>
        <v>414500</v>
      </c>
      <c r="H6" s="49" t="str" cm="1">
        <f t="array" ref="H6:I11">_xlfn.GROUPBY(B6:B25, C6:C25, _xleta.SUM)</f>
        <v>Birmingham</v>
      </c>
      <c r="I6" s="12">
        <v>329800</v>
      </c>
    </row>
    <row r="7" spans="1:9" x14ac:dyDescent="0.35">
      <c r="A7" s="25" t="s">
        <v>61</v>
      </c>
      <c r="B7" s="25" t="s">
        <v>62</v>
      </c>
      <c r="C7" s="24">
        <v>67300</v>
      </c>
      <c r="E7" s="12" t="s">
        <v>62</v>
      </c>
      <c r="F7" s="12">
        <f t="shared" ref="F7:F10" si="0">SUMIFS($C$6:$C$25,$B$6:$B$25,$E7)</f>
        <v>249450</v>
      </c>
      <c r="H7" s="12" t="str">
        <v>Bristol</v>
      </c>
      <c r="I7" s="12">
        <v>294800</v>
      </c>
    </row>
    <row r="8" spans="1:9" x14ac:dyDescent="0.35">
      <c r="A8" s="25" t="s">
        <v>63</v>
      </c>
      <c r="B8" s="25" t="s">
        <v>64</v>
      </c>
      <c r="C8" s="24">
        <v>95800</v>
      </c>
      <c r="E8" s="12" t="s">
        <v>64</v>
      </c>
      <c r="F8" s="12">
        <f t="shared" si="0"/>
        <v>329800</v>
      </c>
      <c r="H8" s="12" t="str">
        <v>Leeds</v>
      </c>
      <c r="I8" s="12">
        <v>205000</v>
      </c>
    </row>
    <row r="9" spans="1:9" x14ac:dyDescent="0.35">
      <c r="A9" s="25" t="s">
        <v>65</v>
      </c>
      <c r="B9" s="25" t="s">
        <v>60</v>
      </c>
      <c r="C9" s="24">
        <v>72800</v>
      </c>
      <c r="E9" s="12" t="s">
        <v>67</v>
      </c>
      <c r="F9" s="12">
        <f t="shared" si="0"/>
        <v>294800</v>
      </c>
      <c r="H9" s="12" t="str">
        <v>London</v>
      </c>
      <c r="I9" s="12">
        <v>414500</v>
      </c>
    </row>
    <row r="10" spans="1:9" x14ac:dyDescent="0.35">
      <c r="A10" s="25" t="s">
        <v>66</v>
      </c>
      <c r="B10" s="25" t="s">
        <v>67</v>
      </c>
      <c r="C10" s="24">
        <v>55400</v>
      </c>
      <c r="E10" s="12" t="s">
        <v>69</v>
      </c>
      <c r="F10" s="12">
        <f t="shared" si="0"/>
        <v>205000</v>
      </c>
      <c r="H10" s="12" t="str">
        <v>Manchester</v>
      </c>
      <c r="I10" s="12">
        <v>249450</v>
      </c>
    </row>
    <row r="11" spans="1:9" x14ac:dyDescent="0.35">
      <c r="A11" s="25" t="s">
        <v>68</v>
      </c>
      <c r="B11" s="25" t="s">
        <v>69</v>
      </c>
      <c r="C11" s="24">
        <v>68950</v>
      </c>
      <c r="H11" s="12" t="str">
        <v>Total</v>
      </c>
      <c r="I11" s="12">
        <v>1493550</v>
      </c>
    </row>
    <row r="12" spans="1:9" x14ac:dyDescent="0.35">
      <c r="A12" s="25" t="s">
        <v>70</v>
      </c>
      <c r="B12" s="25" t="s">
        <v>60</v>
      </c>
      <c r="C12" s="24">
        <v>102300</v>
      </c>
    </row>
    <row r="13" spans="1:9" x14ac:dyDescent="0.35">
      <c r="A13" s="25" t="s">
        <v>71</v>
      </c>
      <c r="B13" s="25" t="s">
        <v>62</v>
      </c>
      <c r="C13" s="24">
        <v>47750</v>
      </c>
    </row>
    <row r="14" spans="1:9" x14ac:dyDescent="0.35">
      <c r="A14" s="25" t="s">
        <v>72</v>
      </c>
      <c r="B14" s="25" t="s">
        <v>64</v>
      </c>
      <c r="C14" s="24">
        <v>83600</v>
      </c>
    </row>
    <row r="15" spans="1:9" x14ac:dyDescent="0.35">
      <c r="A15" s="25" t="s">
        <v>73</v>
      </c>
      <c r="B15" s="25" t="s">
        <v>67</v>
      </c>
      <c r="C15" s="24">
        <v>59100</v>
      </c>
    </row>
    <row r="16" spans="1:9" x14ac:dyDescent="0.35">
      <c r="A16" s="25" t="s">
        <v>74</v>
      </c>
      <c r="B16" s="25" t="s">
        <v>69</v>
      </c>
      <c r="C16" s="24">
        <v>74850</v>
      </c>
    </row>
    <row r="17" spans="1:10" x14ac:dyDescent="0.35">
      <c r="A17" s="25" t="s">
        <v>75</v>
      </c>
      <c r="B17" s="25" t="s">
        <v>60</v>
      </c>
      <c r="C17" s="24">
        <v>66400</v>
      </c>
    </row>
    <row r="18" spans="1:10" x14ac:dyDescent="0.35">
      <c r="A18" s="25" t="s">
        <v>76</v>
      </c>
      <c r="B18" s="25" t="s">
        <v>62</v>
      </c>
      <c r="C18" s="24">
        <v>80500</v>
      </c>
    </row>
    <row r="19" spans="1:10" x14ac:dyDescent="0.35">
      <c r="A19" s="25" t="s">
        <v>77</v>
      </c>
      <c r="B19" s="25" t="s">
        <v>64</v>
      </c>
      <c r="C19" s="24">
        <v>72250</v>
      </c>
    </row>
    <row r="20" spans="1:10" x14ac:dyDescent="0.35">
      <c r="A20" s="25" t="s">
        <v>78</v>
      </c>
      <c r="B20" s="25" t="s">
        <v>67</v>
      </c>
      <c r="C20" s="24">
        <v>95800</v>
      </c>
    </row>
    <row r="21" spans="1:10" x14ac:dyDescent="0.35">
      <c r="A21" s="25" t="s">
        <v>79</v>
      </c>
      <c r="B21" s="25" t="s">
        <v>69</v>
      </c>
      <c r="C21" s="24">
        <v>61200</v>
      </c>
    </row>
    <row r="22" spans="1:10" x14ac:dyDescent="0.35">
      <c r="A22" s="25" t="s">
        <v>80</v>
      </c>
      <c r="B22" s="25" t="s">
        <v>60</v>
      </c>
      <c r="C22" s="24">
        <v>88750</v>
      </c>
    </row>
    <row r="23" spans="1:10" x14ac:dyDescent="0.35">
      <c r="A23" s="25" t="s">
        <v>81</v>
      </c>
      <c r="B23" s="25" t="s">
        <v>62</v>
      </c>
      <c r="C23" s="24">
        <v>53900</v>
      </c>
    </row>
    <row r="24" spans="1:10" x14ac:dyDescent="0.35">
      <c r="A24" s="25" t="s">
        <v>82</v>
      </c>
      <c r="B24" s="25" t="s">
        <v>64</v>
      </c>
      <c r="C24" s="24">
        <v>78150</v>
      </c>
    </row>
    <row r="25" spans="1:10" x14ac:dyDescent="0.35">
      <c r="A25" s="25" t="s">
        <v>83</v>
      </c>
      <c r="B25" s="25" t="s">
        <v>67</v>
      </c>
      <c r="C25" s="24">
        <v>84500</v>
      </c>
    </row>
    <row r="27" spans="1:10" ht="57.65" customHeight="1" x14ac:dyDescent="0.35">
      <c r="C27" s="13" t="s">
        <v>189</v>
      </c>
      <c r="E27" s="66" t="s">
        <v>411</v>
      </c>
      <c r="F27" s="66"/>
    </row>
    <row r="28" spans="1:10" ht="48.5" customHeight="1" x14ac:dyDescent="0.35">
      <c r="C28" s="13" t="s">
        <v>24</v>
      </c>
      <c r="E28" s="66" t="s">
        <v>412</v>
      </c>
      <c r="F28" s="66"/>
      <c r="H28" s="32"/>
    </row>
    <row r="29" spans="1:10" ht="53.4" customHeight="1" x14ac:dyDescent="0.35">
      <c r="C29" s="27" t="s">
        <v>190</v>
      </c>
      <c r="H29" s="66" t="s">
        <v>413</v>
      </c>
      <c r="I29" s="66"/>
      <c r="J29" s="66"/>
    </row>
  </sheetData>
  <mergeCells count="3">
    <mergeCell ref="E27:F27"/>
    <mergeCell ref="E28:F28"/>
    <mergeCell ref="H29:J29"/>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4E0A5-FD9F-4785-BF17-55303521B04D}">
  <dimension ref="A1:S40"/>
  <sheetViews>
    <sheetView zoomScale="130" zoomScaleNormal="130" workbookViewId="0">
      <pane xSplit="3" ySplit="1" topLeftCell="D2" activePane="bottomRight" state="frozen"/>
      <selection activeCell="H20" sqref="H20"/>
      <selection pane="topRight" activeCell="H20" sqref="H20"/>
      <selection pane="bottomLeft" activeCell="H20" sqref="H20"/>
      <selection pane="bottomRight" activeCell="D2" sqref="D2"/>
    </sheetView>
  </sheetViews>
  <sheetFormatPr defaultColWidth="8.90625" defaultRowHeight="14.5" x14ac:dyDescent="0.35"/>
  <cols>
    <col min="1" max="3" width="16.453125" style="12" customWidth="1"/>
    <col min="4" max="4" width="1.90625" style="12" customWidth="1"/>
    <col min="5" max="5" width="13.36328125" style="12" bestFit="1" customWidth="1"/>
    <col min="6" max="6" width="15.54296875" style="12" bestFit="1" customWidth="1"/>
    <col min="7" max="7" width="7.26953125" style="12" bestFit="1" customWidth="1"/>
    <col min="8" max="8" width="6.453125" style="12" bestFit="1" customWidth="1"/>
    <col min="9" max="9" width="10.81640625" style="12" bestFit="1" customWidth="1"/>
    <col min="10" max="10" width="2.81640625" style="12" customWidth="1"/>
    <col min="11" max="11" width="11.7265625" style="12" bestFit="1" customWidth="1"/>
    <col min="12" max="12" width="11.54296875" style="12" bestFit="1" customWidth="1"/>
    <col min="13" max="13" width="10.7265625" style="12" bestFit="1" customWidth="1"/>
    <col min="14" max="14" width="11" style="12" bestFit="1" customWidth="1"/>
    <col min="15" max="15" width="2.81640625" style="12" customWidth="1"/>
    <col min="16" max="16" width="30.453125" style="12" customWidth="1"/>
    <col min="17" max="17" width="11.54296875" style="12" bestFit="1" customWidth="1"/>
    <col min="18" max="18" width="10.7265625" style="12" bestFit="1" customWidth="1"/>
    <col min="19" max="19" width="11" style="12" bestFit="1" customWidth="1"/>
    <col min="20" max="16384" width="8.90625" style="12"/>
  </cols>
  <sheetData>
    <row r="1" spans="1:19" s="19" customFormat="1" ht="21" x14ac:dyDescent="0.35">
      <c r="A1" s="19" t="s">
        <v>406</v>
      </c>
    </row>
    <row r="2" spans="1:19" s="4" customFormat="1" ht="17" x14ac:dyDescent="0.35">
      <c r="A2" s="4" t="s">
        <v>407</v>
      </c>
    </row>
    <row r="3" spans="1:19" ht="16" x14ac:dyDescent="0.35">
      <c r="A3" s="6" t="s">
        <v>13</v>
      </c>
      <c r="B3" s="6"/>
      <c r="C3" s="6"/>
      <c r="E3" s="6" t="s">
        <v>414</v>
      </c>
      <c r="F3" s="6"/>
      <c r="G3" s="6"/>
      <c r="H3" s="6"/>
      <c r="I3" s="6"/>
      <c r="K3" s="6" t="s">
        <v>415</v>
      </c>
      <c r="L3" s="6"/>
      <c r="M3" s="6"/>
      <c r="N3" s="6"/>
      <c r="P3" s="6" t="s">
        <v>428</v>
      </c>
      <c r="Q3" s="6"/>
      <c r="R3" s="6"/>
      <c r="S3" s="6"/>
    </row>
    <row r="4" spans="1:19" s="21" customFormat="1" x14ac:dyDescent="0.35">
      <c r="A4" s="21" t="s">
        <v>56</v>
      </c>
      <c r="B4" s="21" t="s">
        <v>57</v>
      </c>
      <c r="C4" s="21" t="s">
        <v>58</v>
      </c>
      <c r="P4" s="45" t="s">
        <v>427</v>
      </c>
    </row>
    <row r="5" spans="1:19" s="10" customFormat="1" ht="72.5" x14ac:dyDescent="0.35">
      <c r="E5" s="50" t="s">
        <v>435</v>
      </c>
      <c r="F5" s="50" t="s">
        <v>419</v>
      </c>
      <c r="G5"/>
      <c r="H5"/>
      <c r="I5"/>
      <c r="K5" s="11" t="str">
        <f ca="1">_xlfn.FORMULATEXT(K6)</f>
        <v>=PIVOTBY(A6:A25, B6:B25, C6:C25, SUM)</v>
      </c>
      <c r="P5" s="17" t="str">
        <f ca="1">_xlfn.FORMULATEXT(P6)</f>
        <v>=PIVOTBY(A6:A25,B6:B25,C6:C25,
    CHOOSE(XMATCH(P4, {"SUM","AVERAGE","MAX","MIN"}),
                        SUM,  AVERAGE,  MAX,  MIN))</v>
      </c>
    </row>
    <row r="6" spans="1:19" x14ac:dyDescent="0.35">
      <c r="A6" s="25" t="s">
        <v>59</v>
      </c>
      <c r="B6" s="25" t="s">
        <v>60</v>
      </c>
      <c r="C6" s="24">
        <v>14000</v>
      </c>
      <c r="E6" s="50" t="s">
        <v>416</v>
      </c>
      <c r="F6" t="s">
        <v>69</v>
      </c>
      <c r="G6" t="s">
        <v>60</v>
      </c>
      <c r="H6" t="s">
        <v>417</v>
      </c>
      <c r="I6" t="s">
        <v>418</v>
      </c>
      <c r="K6" s="49" t="str" cm="1">
        <f t="array" ref="K6:N10">_xlfn.PIVOTBY(A6:A25, B6:B25, C6:C25, _xleta.SUM)</f>
        <v/>
      </c>
      <c r="L6" s="12" t="str">
        <v>Leeds</v>
      </c>
      <c r="M6" s="12" t="str">
        <v>London</v>
      </c>
      <c r="N6" s="12" t="str">
        <v>Total</v>
      </c>
      <c r="P6" s="49" t="str" cm="1">
        <f t="array" ref="P6:S10">_xlfn.PIVOTBY(A6:A25,B6:B25,C6:C25,
    CHOOSE(_xlfn.XMATCH(P4, {"SUM","AVERAGE","MAX","MIN"}),
                        _xleta.SUM,  _xleta.AVERAGE,  _xleta.MAX,  _xleta.MIN))</f>
        <v/>
      </c>
      <c r="Q6" s="12" t="str">
        <v>Leeds</v>
      </c>
      <c r="R6" s="12" t="str">
        <v>London</v>
      </c>
      <c r="S6" s="12" t="str">
        <v>Total</v>
      </c>
    </row>
    <row r="7" spans="1:19" x14ac:dyDescent="0.35">
      <c r="A7" s="25" t="s">
        <v>59</v>
      </c>
      <c r="B7" s="25" t="s">
        <v>60</v>
      </c>
      <c r="C7" s="24">
        <v>15000</v>
      </c>
      <c r="E7" s="51" t="s">
        <v>68</v>
      </c>
      <c r="F7">
        <v>95000</v>
      </c>
      <c r="G7"/>
      <c r="H7"/>
      <c r="I7">
        <v>95000</v>
      </c>
      <c r="K7" s="12" t="str">
        <v>Amelia Khan</v>
      </c>
      <c r="L7" s="12">
        <v>95000</v>
      </c>
      <c r="M7" s="12" t="str">
        <v/>
      </c>
      <c r="N7" s="12">
        <v>95000</v>
      </c>
      <c r="P7" s="12" t="str">
        <v>Amelia Khan</v>
      </c>
      <c r="Q7" s="12">
        <v>95000</v>
      </c>
      <c r="R7" s="12" t="str">
        <v/>
      </c>
      <c r="S7" s="12">
        <v>95000</v>
      </c>
    </row>
    <row r="8" spans="1:19" x14ac:dyDescent="0.35">
      <c r="A8" s="25" t="s">
        <v>59</v>
      </c>
      <c r="B8" s="25" t="s">
        <v>60</v>
      </c>
      <c r="C8" s="24">
        <v>15000</v>
      </c>
      <c r="E8" s="51" t="s">
        <v>59</v>
      </c>
      <c r="F8"/>
      <c r="G8">
        <v>80000</v>
      </c>
      <c r="H8"/>
      <c r="I8">
        <v>80000</v>
      </c>
      <c r="K8" s="12" t="str">
        <v>James Carter</v>
      </c>
      <c r="L8" s="12" t="str">
        <v/>
      </c>
      <c r="M8" s="12">
        <v>80000</v>
      </c>
      <c r="N8" s="12">
        <v>80000</v>
      </c>
      <c r="P8" s="12" t="str">
        <v>James Carter</v>
      </c>
      <c r="Q8" s="12" t="str">
        <v/>
      </c>
      <c r="R8" s="12">
        <v>80000</v>
      </c>
      <c r="S8" s="12">
        <v>80000</v>
      </c>
    </row>
    <row r="9" spans="1:19" x14ac:dyDescent="0.35">
      <c r="A9" s="25" t="s">
        <v>59</v>
      </c>
      <c r="B9" s="25" t="s">
        <v>60</v>
      </c>
      <c r="C9" s="24">
        <v>19000</v>
      </c>
      <c r="E9" s="51" t="s">
        <v>65</v>
      </c>
      <c r="F9"/>
      <c r="G9">
        <v>127000</v>
      </c>
      <c r="H9"/>
      <c r="I9">
        <v>127000</v>
      </c>
      <c r="K9" s="12" t="str">
        <v>Sophia Patel</v>
      </c>
      <c r="L9" s="12" t="str">
        <v/>
      </c>
      <c r="M9" s="12">
        <v>127000</v>
      </c>
      <c r="N9" s="12">
        <v>127000</v>
      </c>
      <c r="P9" s="12" t="str">
        <v>Sophia Patel</v>
      </c>
      <c r="Q9" s="12" t="str">
        <v/>
      </c>
      <c r="R9" s="12">
        <v>127000</v>
      </c>
      <c r="S9" s="12">
        <v>127000</v>
      </c>
    </row>
    <row r="10" spans="1:19" x14ac:dyDescent="0.35">
      <c r="A10" s="25" t="s">
        <v>59</v>
      </c>
      <c r="B10" s="25" t="s">
        <v>60</v>
      </c>
      <c r="C10" s="24">
        <v>17000</v>
      </c>
      <c r="E10" s="51" t="s">
        <v>417</v>
      </c>
      <c r="F10"/>
      <c r="G10"/>
      <c r="H10"/>
      <c r="I10"/>
      <c r="K10" s="12" t="str">
        <v>Total</v>
      </c>
      <c r="L10" s="12">
        <v>95000</v>
      </c>
      <c r="M10" s="12">
        <v>207000</v>
      </c>
      <c r="N10" s="12">
        <v>302000</v>
      </c>
      <c r="P10" s="12" t="str">
        <v>Total</v>
      </c>
      <c r="Q10" s="12">
        <v>95000</v>
      </c>
      <c r="R10" s="12">
        <v>207000</v>
      </c>
      <c r="S10" s="12">
        <v>302000</v>
      </c>
    </row>
    <row r="11" spans="1:19" x14ac:dyDescent="0.35">
      <c r="A11" s="25" t="s">
        <v>68</v>
      </c>
      <c r="B11" s="25" t="s">
        <v>69</v>
      </c>
      <c r="C11" s="24">
        <v>10000</v>
      </c>
      <c r="E11" s="51" t="s">
        <v>418</v>
      </c>
      <c r="F11">
        <v>95000</v>
      </c>
      <c r="G11">
        <v>207000</v>
      </c>
      <c r="H11"/>
      <c r="I11">
        <v>302000</v>
      </c>
    </row>
    <row r="12" spans="1:19" x14ac:dyDescent="0.35">
      <c r="A12" s="25" t="s">
        <v>68</v>
      </c>
      <c r="B12" s="25" t="s">
        <v>69</v>
      </c>
      <c r="C12" s="24">
        <v>13000</v>
      </c>
      <c r="E12"/>
      <c r="F12"/>
      <c r="G12"/>
      <c r="H12"/>
      <c r="I12"/>
    </row>
    <row r="13" spans="1:19" x14ac:dyDescent="0.35">
      <c r="A13" s="25" t="s">
        <v>68</v>
      </c>
      <c r="B13" s="25" t="s">
        <v>69</v>
      </c>
      <c r="C13" s="24">
        <v>11000</v>
      </c>
      <c r="E13"/>
      <c r="F13"/>
      <c r="G13"/>
      <c r="H13"/>
      <c r="I13"/>
    </row>
    <row r="14" spans="1:19" x14ac:dyDescent="0.35">
      <c r="A14" s="25" t="s">
        <v>68</v>
      </c>
      <c r="B14" s="25" t="s">
        <v>69</v>
      </c>
      <c r="C14" s="24">
        <v>13000</v>
      </c>
      <c r="E14"/>
      <c r="F14"/>
      <c r="G14"/>
      <c r="H14"/>
      <c r="I14"/>
    </row>
    <row r="15" spans="1:19" x14ac:dyDescent="0.35">
      <c r="A15" s="25" t="s">
        <v>68</v>
      </c>
      <c r="B15" s="25" t="s">
        <v>69</v>
      </c>
      <c r="C15" s="24">
        <v>19000</v>
      </c>
      <c r="E15"/>
      <c r="F15"/>
      <c r="G15"/>
      <c r="H15"/>
      <c r="I15"/>
    </row>
    <row r="16" spans="1:19" x14ac:dyDescent="0.35">
      <c r="A16" s="25" t="s">
        <v>68</v>
      </c>
      <c r="B16" s="25" t="s">
        <v>69</v>
      </c>
      <c r="C16" s="24">
        <v>15000</v>
      </c>
      <c r="E16"/>
      <c r="F16"/>
      <c r="G16"/>
      <c r="H16"/>
      <c r="I16"/>
    </row>
    <row r="17" spans="1:11" x14ac:dyDescent="0.35">
      <c r="A17" s="25" t="s">
        <v>68</v>
      </c>
      <c r="B17" s="25" t="s">
        <v>69</v>
      </c>
      <c r="C17" s="24">
        <v>14000</v>
      </c>
      <c r="E17"/>
      <c r="F17"/>
      <c r="G17"/>
      <c r="H17"/>
      <c r="I17"/>
    </row>
    <row r="18" spans="1:11" x14ac:dyDescent="0.35">
      <c r="A18" s="25" t="s">
        <v>65</v>
      </c>
      <c r="B18" s="25" t="s">
        <v>60</v>
      </c>
      <c r="C18" s="24">
        <v>14000</v>
      </c>
      <c r="E18"/>
      <c r="F18"/>
      <c r="G18"/>
      <c r="H18"/>
      <c r="I18"/>
    </row>
    <row r="19" spans="1:11" x14ac:dyDescent="0.35">
      <c r="A19" s="25" t="s">
        <v>65</v>
      </c>
      <c r="B19" s="25" t="s">
        <v>60</v>
      </c>
      <c r="C19" s="24">
        <v>13000</v>
      </c>
      <c r="E19"/>
      <c r="F19"/>
      <c r="G19"/>
      <c r="H19"/>
      <c r="I19"/>
    </row>
    <row r="20" spans="1:11" x14ac:dyDescent="0.35">
      <c r="A20" s="25" t="s">
        <v>65</v>
      </c>
      <c r="B20" s="25" t="s">
        <v>60</v>
      </c>
      <c r="C20" s="24">
        <v>17000</v>
      </c>
      <c r="E20"/>
      <c r="F20"/>
      <c r="G20"/>
      <c r="H20"/>
      <c r="I20"/>
    </row>
    <row r="21" spans="1:11" x14ac:dyDescent="0.35">
      <c r="A21" s="25" t="s">
        <v>65</v>
      </c>
      <c r="B21" s="25" t="s">
        <v>60</v>
      </c>
      <c r="C21" s="24">
        <v>20000</v>
      </c>
      <c r="E21"/>
      <c r="F21"/>
      <c r="G21"/>
      <c r="H21"/>
      <c r="I21"/>
    </row>
    <row r="22" spans="1:11" x14ac:dyDescent="0.35">
      <c r="A22" s="25" t="s">
        <v>65</v>
      </c>
      <c r="B22" s="25" t="s">
        <v>60</v>
      </c>
      <c r="C22" s="24">
        <v>15000</v>
      </c>
      <c r="E22"/>
      <c r="F22"/>
      <c r="G22"/>
      <c r="H22"/>
      <c r="I22"/>
    </row>
    <row r="23" spans="1:11" x14ac:dyDescent="0.35">
      <c r="A23" s="25" t="s">
        <v>65</v>
      </c>
      <c r="B23" s="25" t="s">
        <v>60</v>
      </c>
      <c r="C23" s="24">
        <v>16000</v>
      </c>
      <c r="E23"/>
      <c r="F23"/>
      <c r="G23"/>
      <c r="H23"/>
      <c r="I23"/>
    </row>
    <row r="24" spans="1:11" x14ac:dyDescent="0.35">
      <c r="A24" s="25" t="s">
        <v>65</v>
      </c>
      <c r="B24" s="25" t="s">
        <v>60</v>
      </c>
      <c r="C24" s="24">
        <v>13000</v>
      </c>
      <c r="E24"/>
      <c r="F24"/>
      <c r="G24"/>
      <c r="H24"/>
      <c r="I24"/>
    </row>
    <row r="25" spans="1:11" x14ac:dyDescent="0.35">
      <c r="A25" s="25" t="s">
        <v>65</v>
      </c>
      <c r="B25" s="25" t="s">
        <v>60</v>
      </c>
      <c r="C25" s="24">
        <v>19000</v>
      </c>
      <c r="E25"/>
      <c r="F25"/>
      <c r="G25"/>
      <c r="H25"/>
      <c r="I25"/>
    </row>
    <row r="26" spans="1:11" x14ac:dyDescent="0.35">
      <c r="E26"/>
      <c r="F26"/>
      <c r="G26"/>
      <c r="H26"/>
      <c r="I26"/>
    </row>
    <row r="27" spans="1:11" x14ac:dyDescent="0.35">
      <c r="C27" s="13" t="s">
        <v>189</v>
      </c>
      <c r="E27" s="66" t="s">
        <v>420</v>
      </c>
      <c r="F27" s="66"/>
    </row>
    <row r="28" spans="1:11" x14ac:dyDescent="0.35">
      <c r="C28" s="13" t="s">
        <v>24</v>
      </c>
      <c r="E28" s="12" t="s">
        <v>421</v>
      </c>
    </row>
    <row r="29" spans="1:11" x14ac:dyDescent="0.35">
      <c r="C29" s="27" t="s">
        <v>190</v>
      </c>
      <c r="K29" s="12" t="s">
        <v>422</v>
      </c>
    </row>
    <row r="30" spans="1:11" x14ac:dyDescent="0.35">
      <c r="K30" s="12" t="s">
        <v>429</v>
      </c>
    </row>
    <row r="31" spans="1:11" x14ac:dyDescent="0.35">
      <c r="E31"/>
      <c r="F31"/>
      <c r="G31"/>
    </row>
    <row r="32" spans="1:11" x14ac:dyDescent="0.35">
      <c r="E32"/>
      <c r="F32"/>
      <c r="G32"/>
    </row>
    <row r="33" spans="5:7" x14ac:dyDescent="0.35">
      <c r="E33"/>
      <c r="F33"/>
      <c r="G33"/>
    </row>
    <row r="34" spans="5:7" x14ac:dyDescent="0.35">
      <c r="E34"/>
      <c r="F34"/>
      <c r="G34"/>
    </row>
    <row r="35" spans="5:7" x14ac:dyDescent="0.35">
      <c r="E35"/>
      <c r="F35"/>
      <c r="G35"/>
    </row>
    <row r="36" spans="5:7" x14ac:dyDescent="0.35">
      <c r="E36"/>
      <c r="F36"/>
      <c r="G36"/>
    </row>
    <row r="37" spans="5:7" x14ac:dyDescent="0.35">
      <c r="E37"/>
      <c r="F37"/>
      <c r="G37"/>
    </row>
    <row r="38" spans="5:7" x14ac:dyDescent="0.35">
      <c r="E38"/>
      <c r="F38"/>
      <c r="G38"/>
    </row>
    <row r="39" spans="5:7" x14ac:dyDescent="0.35">
      <c r="E39"/>
      <c r="F39"/>
      <c r="G39"/>
    </row>
    <row r="40" spans="5:7" x14ac:dyDescent="0.35">
      <c r="E40"/>
      <c r="F40"/>
      <c r="G40"/>
    </row>
  </sheetData>
  <mergeCells count="1">
    <mergeCell ref="E27:F27"/>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A8C57-DD7E-4C7C-9A24-A128C0ECD7E1}">
  <sheetPr codeName="Sheet9"/>
  <dimension ref="A1:N38"/>
  <sheetViews>
    <sheetView zoomScale="130" zoomScaleNormal="130" workbookViewId="0">
      <pane xSplit="4" ySplit="1" topLeftCell="E2" activePane="bottomRight" state="frozen"/>
      <selection pane="topRight" activeCell="E1" sqref="E1"/>
      <selection pane="bottomLeft" activeCell="A2" sqref="A2"/>
      <selection pane="bottomRight" activeCell="E2" sqref="E2"/>
    </sheetView>
  </sheetViews>
  <sheetFormatPr defaultColWidth="8.90625" defaultRowHeight="14.5" x14ac:dyDescent="0.35"/>
  <cols>
    <col min="1" max="3" width="16.453125" style="12" customWidth="1"/>
    <col min="4" max="4" width="1.90625" style="12" customWidth="1"/>
    <col min="5" max="5" width="19.6328125" style="12" customWidth="1"/>
    <col min="6" max="6" width="15.6328125" style="12" customWidth="1"/>
    <col min="7" max="7" width="1.90625" style="12" customWidth="1"/>
    <col min="8" max="8" width="36.36328125" style="12" customWidth="1"/>
    <col min="9" max="9" width="1.90625" style="12" customWidth="1"/>
    <col min="10" max="10" width="36.36328125" style="12" customWidth="1"/>
    <col min="11" max="11" width="1.90625" style="12" customWidth="1"/>
    <col min="12" max="12" width="36.36328125" style="12" customWidth="1"/>
    <col min="13" max="13" width="1.90625" style="12" customWidth="1"/>
    <col min="14" max="14" width="36.36328125" style="12" customWidth="1"/>
    <col min="15" max="16384" width="8.90625" style="12"/>
  </cols>
  <sheetData>
    <row r="1" spans="1:14" s="19" customFormat="1" ht="21" x14ac:dyDescent="0.35">
      <c r="A1" s="19" t="s">
        <v>127</v>
      </c>
    </row>
    <row r="2" spans="1:14" s="4" customFormat="1" ht="17" x14ac:dyDescent="0.35">
      <c r="A2" s="4" t="s">
        <v>129</v>
      </c>
    </row>
    <row r="3" spans="1:14" ht="16" x14ac:dyDescent="0.35">
      <c r="A3" s="6" t="s">
        <v>130</v>
      </c>
      <c r="B3" s="6"/>
      <c r="C3" s="6"/>
    </row>
    <row r="4" spans="1:14" x14ac:dyDescent="0.35">
      <c r="A4" s="27" t="s">
        <v>57</v>
      </c>
      <c r="B4" s="27" t="s">
        <v>131</v>
      </c>
    </row>
    <row r="5" spans="1:14" x14ac:dyDescent="0.35">
      <c r="A5" s="12" t="s">
        <v>64</v>
      </c>
      <c r="B5" s="12" t="s">
        <v>132</v>
      </c>
    </row>
    <row r="6" spans="1:14" x14ac:dyDescent="0.35">
      <c r="A6" s="12" t="s">
        <v>67</v>
      </c>
      <c r="B6" s="12" t="s">
        <v>133</v>
      </c>
    </row>
    <row r="7" spans="1:14" x14ac:dyDescent="0.35">
      <c r="A7" s="12" t="s">
        <v>69</v>
      </c>
      <c r="B7" s="12" t="s">
        <v>134</v>
      </c>
    </row>
    <row r="8" spans="1:14" x14ac:dyDescent="0.35">
      <c r="A8" s="12" t="s">
        <v>60</v>
      </c>
      <c r="B8" s="12" t="s">
        <v>135</v>
      </c>
    </row>
    <row r="9" spans="1:14" x14ac:dyDescent="0.35">
      <c r="A9" s="12" t="s">
        <v>62</v>
      </c>
      <c r="B9" s="12" t="s">
        <v>137</v>
      </c>
    </row>
    <row r="10" spans="1:14" x14ac:dyDescent="0.35">
      <c r="A10" s="12" t="s">
        <v>141</v>
      </c>
      <c r="B10" s="12" t="s">
        <v>136</v>
      </c>
    </row>
    <row r="12" spans="1:14" ht="16" x14ac:dyDescent="0.35">
      <c r="A12" s="6" t="s">
        <v>13</v>
      </c>
      <c r="B12" s="6"/>
      <c r="C12" s="6"/>
      <c r="E12" s="6" t="s">
        <v>140</v>
      </c>
      <c r="F12" s="6"/>
      <c r="H12" s="6" t="s">
        <v>138</v>
      </c>
      <c r="J12" s="6" t="s">
        <v>142</v>
      </c>
      <c r="L12" s="6" t="s">
        <v>143</v>
      </c>
      <c r="N12" s="6" t="s">
        <v>388</v>
      </c>
    </row>
    <row r="13" spans="1:14" s="21" customFormat="1" x14ac:dyDescent="0.35">
      <c r="A13" s="21" t="s">
        <v>56</v>
      </c>
      <c r="B13" s="21" t="s">
        <v>57</v>
      </c>
      <c r="C13" s="21" t="s">
        <v>58</v>
      </c>
      <c r="E13" s="21" t="s">
        <v>131</v>
      </c>
      <c r="F13" s="23" t="s">
        <v>139</v>
      </c>
      <c r="G13" s="23"/>
      <c r="H13" s="23" t="s">
        <v>139</v>
      </c>
      <c r="J13" s="23" t="s">
        <v>139</v>
      </c>
      <c r="L13" s="23" t="s">
        <v>139</v>
      </c>
      <c r="N13" s="23" t="s">
        <v>139</v>
      </c>
    </row>
    <row r="14" spans="1:14" s="10" customFormat="1" ht="60.5" customHeight="1" x14ac:dyDescent="0.35">
      <c r="H14" s="11" t="str">
        <f ca="1">_xlfn.FORMULATEXT(H15)</f>
        <v>=IF(B15="Birmingham",C15*0.1,IF(B15="Bristol",C15*0.2,IF(B15="Leeds",1000,IF(B15="London",(C15+20000)*0.15,IF(B15="Manchester",2500,0)))))</v>
      </c>
      <c r="J14" s="11" t="str">
        <f ca="1">_xlfn.FORMULATEXT(J15)</f>
        <v>=IFS(B15="Birmingham",C15*0.1,B15="Bristol",C15*0.2,B15="Leeds",1000,B15="London",(C15+20000)*0.15,B15="Manchester",2500,TRUE,0)</v>
      </c>
      <c r="L14" s="11" t="str">
        <f ca="1">_xlfn.FORMULATEXT(L15)</f>
        <v>=SWITCH(B15,"Birmingham",C15*0.1,"Bristol",C15*0.2,"Leeds",1000,"London",(C15+20000)*0.15,"Manchester",2500,0)</v>
      </c>
      <c r="N14" s="11" t="str">
        <f ca="1">_xlfn.FORMULATEXT(N15)</f>
        <v>=IFERROR(CHOOSE(MATCH($B15,$A$5:$A$10,0),C15*0.1,C15*0.2,1000,(C15+20000)*0.15,2500),0)</v>
      </c>
    </row>
    <row r="15" spans="1:14" x14ac:dyDescent="0.35">
      <c r="A15" s="25" t="s">
        <v>59</v>
      </c>
      <c r="B15" s="25" t="s">
        <v>60</v>
      </c>
      <c r="C15" s="24">
        <v>84250</v>
      </c>
      <c r="E15" s="12" t="str">
        <f>_xlfn.XLOOKUP($B15,$A$5:$A$9,$B$5:$B$9,,0)</f>
        <v>(Sales + £20k) * 15%</v>
      </c>
      <c r="F15" s="12">
        <f>(C15+20000)*0.15</f>
        <v>15637.5</v>
      </c>
      <c r="H15" s="12">
        <f>IF(B15="Birmingham",C15*0.1,IF(B15="Bristol",C15*0.2,IF(B15="Leeds",1000,IF(B15="London",(C15+20000)*0.15,IF(B15="Manchester",2500,0)))))</f>
        <v>15637.5</v>
      </c>
      <c r="J15" s="12" cm="1">
        <f t="array" ref="J15">_xlfn.IFS(B15="Birmingham",C15*0.1,B15="Bristol",C15*0.2,B15="Leeds",1000,B15="London",(C15+20000)*0.15,B15="Manchester",2500,TRUE,0)</f>
        <v>15637.5</v>
      </c>
      <c r="L15" s="12" cm="1">
        <f t="array" ref="L15">_xlfn.SWITCH(B15,"Birmingham",C15*0.1,"Bristol",C15*0.2,"Leeds",1000,"London",(C15+20000)*0.15,"Manchester",2500,0)</f>
        <v>15637.5</v>
      </c>
      <c r="N15" s="12">
        <f>IFERROR(CHOOSE(MATCH($B15,$A$5:$A$10,0),C15*0.1,C15*0.2,1000,(C15+20000)*0.15,2500),0)</f>
        <v>15637.5</v>
      </c>
    </row>
    <row r="16" spans="1:14" x14ac:dyDescent="0.35">
      <c r="A16" s="25" t="s">
        <v>61</v>
      </c>
      <c r="B16" s="25" t="s">
        <v>62</v>
      </c>
      <c r="C16" s="24">
        <v>67300</v>
      </c>
      <c r="E16" s="12" t="str">
        <f t="shared" ref="E16:E34" si="0">_xlfn.XLOOKUP($B16,$A$5:$A$9,$B$5:$B$9,,0)</f>
        <v>Flat £2,500</v>
      </c>
      <c r="F16" s="12">
        <v>2500</v>
      </c>
      <c r="H16" s="12">
        <f t="shared" ref="H16:H34" si="1">IF(B16="Birmingham",C16*0.1,IF(B16="Bristol",C16*0.2,IF(B16="Leeds",1000,IF(B16="London",(C16+20000)*0.15,IF(B16="Manchester",2500,0)))))</f>
        <v>2500</v>
      </c>
      <c r="J16" s="12" cm="1">
        <f t="array" ref="J16">_xlfn.IFS(B16="Birmingham",C16*0.1,B16="Bristol",C16*0.2,B16="Leeds",1000,B16="London",(C16+20000)*0.15,B16="Manchester",2500,TRUE,0)</f>
        <v>2500</v>
      </c>
      <c r="L16" s="12" cm="1">
        <f t="array" ref="L16">_xlfn.SWITCH(B16,"Birmingham",C16*0.1,"Bristol",C16*0.2,"Leeds",1000,"London",(C16+20000)*0.15,"Manchester",2500,0)</f>
        <v>2500</v>
      </c>
      <c r="N16" s="12">
        <f t="shared" ref="N16:N34" si="2">IFERROR(CHOOSE(MATCH($B16,$A$5:$A$10,0),C16*0.1,C16*0.2,1000,(C16+20000)*0.15,2500),0)</f>
        <v>2500</v>
      </c>
    </row>
    <row r="17" spans="1:14" x14ac:dyDescent="0.35">
      <c r="A17" s="25" t="s">
        <v>63</v>
      </c>
      <c r="B17" s="25" t="s">
        <v>64</v>
      </c>
      <c r="C17" s="24">
        <v>95800</v>
      </c>
      <c r="E17" s="12" t="str">
        <f t="shared" si="0"/>
        <v>10% of sales</v>
      </c>
      <c r="F17" s="12">
        <f>C17*0.1</f>
        <v>9580</v>
      </c>
      <c r="H17" s="12">
        <f t="shared" si="1"/>
        <v>9580</v>
      </c>
      <c r="J17" s="12" cm="1">
        <f t="array" ref="J17">_xlfn.IFS(B17="Birmingham",C17*0.1,B17="Bristol",C17*0.2,B17="Leeds",1000,B17="London",(C17+20000)*0.15,B17="Manchester",2500,TRUE,0)</f>
        <v>9580</v>
      </c>
      <c r="L17" s="12" cm="1">
        <f t="array" ref="L17">_xlfn.SWITCH(B17,"Birmingham",C17*0.1,"Bristol",C17*0.2,"Leeds",1000,"London",(C17+20000)*0.15,"Manchester",2500,0)</f>
        <v>9580</v>
      </c>
      <c r="N17" s="12">
        <f t="shared" si="2"/>
        <v>9580</v>
      </c>
    </row>
    <row r="18" spans="1:14" x14ac:dyDescent="0.35">
      <c r="A18" s="25" t="s">
        <v>65</v>
      </c>
      <c r="B18" s="25" t="s">
        <v>60</v>
      </c>
      <c r="C18" s="24">
        <v>72800</v>
      </c>
      <c r="E18" s="12" t="str">
        <f t="shared" si="0"/>
        <v>(Sales + £20k) * 15%</v>
      </c>
      <c r="F18" s="12">
        <f>(C18+20000)*0.15</f>
        <v>13920</v>
      </c>
      <c r="H18" s="12">
        <f t="shared" si="1"/>
        <v>13920</v>
      </c>
      <c r="J18" s="12" cm="1">
        <f t="array" ref="J18">_xlfn.IFS(B18="Birmingham",C18*0.1,B18="Bristol",C18*0.2,B18="Leeds",1000,B18="London",(C18+20000)*0.15,B18="Manchester",2500,TRUE,0)</f>
        <v>13920</v>
      </c>
      <c r="L18" s="12" cm="1">
        <f t="array" ref="L18">_xlfn.SWITCH(B18,"Birmingham",C18*0.1,"Bristol",C18*0.2,"Leeds",1000,"London",(C18+20000)*0.15,"Manchester",2500,0)</f>
        <v>13920</v>
      </c>
      <c r="N18" s="12">
        <f t="shared" si="2"/>
        <v>13920</v>
      </c>
    </row>
    <row r="19" spans="1:14" x14ac:dyDescent="0.35">
      <c r="A19" s="25" t="s">
        <v>66</v>
      </c>
      <c r="B19" s="25" t="s">
        <v>67</v>
      </c>
      <c r="C19" s="24">
        <v>55400</v>
      </c>
      <c r="E19" s="12" t="str">
        <f t="shared" si="0"/>
        <v>20% of sales</v>
      </c>
      <c r="F19" s="12">
        <f>C19*0.2</f>
        <v>11080</v>
      </c>
      <c r="H19" s="12">
        <f t="shared" si="1"/>
        <v>11080</v>
      </c>
      <c r="J19" s="12" cm="1">
        <f t="array" ref="J19">_xlfn.IFS(B19="Birmingham",C19*0.1,B19="Bristol",C19*0.2,B19="Leeds",1000,B19="London",(C19+20000)*0.15,B19="Manchester",2500,TRUE,0)</f>
        <v>11080</v>
      </c>
      <c r="L19" s="12" cm="1">
        <f t="array" ref="L19">_xlfn.SWITCH(B19,"Birmingham",C19*0.1,"Bristol",C19*0.2,"Leeds",1000,"London",(C19+20000)*0.15,"Manchester",2500,0)</f>
        <v>11080</v>
      </c>
      <c r="N19" s="12">
        <f t="shared" si="2"/>
        <v>11080</v>
      </c>
    </row>
    <row r="20" spans="1:14" x14ac:dyDescent="0.35">
      <c r="A20" s="25" t="s">
        <v>68</v>
      </c>
      <c r="B20" s="25" t="s">
        <v>69</v>
      </c>
      <c r="C20" s="24">
        <v>68950</v>
      </c>
      <c r="E20" s="12" t="str">
        <f t="shared" si="0"/>
        <v>Flat £1,000</v>
      </c>
      <c r="F20" s="12">
        <v>1000</v>
      </c>
      <c r="H20" s="12">
        <f t="shared" si="1"/>
        <v>1000</v>
      </c>
      <c r="J20" s="12" cm="1">
        <f t="array" ref="J20">_xlfn.IFS(B20="Birmingham",C20*0.1,B20="Bristol",C20*0.2,B20="Leeds",1000,B20="London",(C20+20000)*0.15,B20="Manchester",2500,TRUE,0)</f>
        <v>1000</v>
      </c>
      <c r="L20" s="12" cm="1">
        <f t="array" ref="L20">_xlfn.SWITCH(B20,"Birmingham",C20*0.1,"Bristol",C20*0.2,"Leeds",1000,"London",(C20+20000)*0.15,"Manchester",2500,0)</f>
        <v>1000</v>
      </c>
      <c r="N20" s="12">
        <f t="shared" si="2"/>
        <v>1000</v>
      </c>
    </row>
    <row r="21" spans="1:14" x14ac:dyDescent="0.35">
      <c r="A21" s="25" t="s">
        <v>70</v>
      </c>
      <c r="B21" s="25" t="s">
        <v>60</v>
      </c>
      <c r="C21" s="24">
        <v>102300</v>
      </c>
      <c r="E21" s="12" t="str">
        <f t="shared" si="0"/>
        <v>(Sales + £20k) * 15%</v>
      </c>
      <c r="F21" s="12">
        <f>(C21+20000)*0.15</f>
        <v>18345</v>
      </c>
      <c r="H21" s="12">
        <f t="shared" si="1"/>
        <v>18345</v>
      </c>
      <c r="J21" s="12" cm="1">
        <f t="array" ref="J21">_xlfn.IFS(B21="Birmingham",C21*0.1,B21="Bristol",C21*0.2,B21="Leeds",1000,B21="London",(C21+20000)*0.15,B21="Manchester",2500,TRUE,0)</f>
        <v>18345</v>
      </c>
      <c r="L21" s="12" cm="1">
        <f t="array" ref="L21">_xlfn.SWITCH(B21,"Birmingham",C21*0.1,"Bristol",C21*0.2,"Leeds",1000,"London",(C21+20000)*0.15,"Manchester",2500,0)</f>
        <v>18345</v>
      </c>
      <c r="N21" s="12">
        <f t="shared" si="2"/>
        <v>18345</v>
      </c>
    </row>
    <row r="22" spans="1:14" x14ac:dyDescent="0.35">
      <c r="A22" s="25" t="s">
        <v>71</v>
      </c>
      <c r="B22" s="25" t="s">
        <v>62</v>
      </c>
      <c r="C22" s="24">
        <v>47750</v>
      </c>
      <c r="E22" s="12" t="str">
        <f t="shared" si="0"/>
        <v>Flat £2,500</v>
      </c>
      <c r="F22" s="12">
        <v>2500</v>
      </c>
      <c r="H22" s="12">
        <f t="shared" si="1"/>
        <v>2500</v>
      </c>
      <c r="J22" s="12" cm="1">
        <f t="array" ref="J22">_xlfn.IFS(B22="Birmingham",C22*0.1,B22="Bristol",C22*0.2,B22="Leeds",1000,B22="London",(C22+20000)*0.15,B22="Manchester",2500,TRUE,0)</f>
        <v>2500</v>
      </c>
      <c r="L22" s="12" cm="1">
        <f t="array" ref="L22">_xlfn.SWITCH(B22,"Birmingham",C22*0.1,"Bristol",C22*0.2,"Leeds",1000,"London",(C22+20000)*0.15,"Manchester",2500,0)</f>
        <v>2500</v>
      </c>
      <c r="N22" s="12">
        <f t="shared" si="2"/>
        <v>2500</v>
      </c>
    </row>
    <row r="23" spans="1:14" x14ac:dyDescent="0.35">
      <c r="A23" s="25" t="s">
        <v>72</v>
      </c>
      <c r="B23" s="25" t="s">
        <v>64</v>
      </c>
      <c r="C23" s="24">
        <v>83600</v>
      </c>
      <c r="E23" s="12" t="str">
        <f t="shared" si="0"/>
        <v>10% of sales</v>
      </c>
      <c r="F23" s="12">
        <f>C23*0.1</f>
        <v>8360</v>
      </c>
      <c r="H23" s="12">
        <f t="shared" si="1"/>
        <v>8360</v>
      </c>
      <c r="J23" s="12" cm="1">
        <f t="array" ref="J23">_xlfn.IFS(B23="Birmingham",C23*0.1,B23="Bristol",C23*0.2,B23="Leeds",1000,B23="London",(C23+20000)*0.15,B23="Manchester",2500,TRUE,0)</f>
        <v>8360</v>
      </c>
      <c r="L23" s="12" cm="1">
        <f t="array" ref="L23">_xlfn.SWITCH(B23,"Birmingham",C23*0.1,"Bristol",C23*0.2,"Leeds",1000,"London",(C23+20000)*0.15,"Manchester",2500,0)</f>
        <v>8360</v>
      </c>
      <c r="N23" s="12">
        <f t="shared" si="2"/>
        <v>8360</v>
      </c>
    </row>
    <row r="24" spans="1:14" x14ac:dyDescent="0.35">
      <c r="A24" s="25" t="s">
        <v>73</v>
      </c>
      <c r="B24" s="25" t="s">
        <v>67</v>
      </c>
      <c r="C24" s="24">
        <v>59100</v>
      </c>
      <c r="E24" s="12" t="str">
        <f t="shared" si="0"/>
        <v>20% of sales</v>
      </c>
      <c r="F24" s="12">
        <f>C24*0.2</f>
        <v>11820</v>
      </c>
      <c r="H24" s="12">
        <f t="shared" si="1"/>
        <v>11820</v>
      </c>
      <c r="J24" s="12" cm="1">
        <f t="array" ref="J24">_xlfn.IFS(B24="Birmingham",C24*0.1,B24="Bristol",C24*0.2,B24="Leeds",1000,B24="London",(C24+20000)*0.15,B24="Manchester",2500,TRUE,0)</f>
        <v>11820</v>
      </c>
      <c r="L24" s="12" cm="1">
        <f t="array" ref="L24">_xlfn.SWITCH(B24,"Birmingham",C24*0.1,"Bristol",C24*0.2,"Leeds",1000,"London",(C24+20000)*0.15,"Manchester",2500,0)</f>
        <v>11820</v>
      </c>
      <c r="N24" s="12">
        <f t="shared" si="2"/>
        <v>11820</v>
      </c>
    </row>
    <row r="25" spans="1:14" x14ac:dyDescent="0.35">
      <c r="A25" s="25" t="s">
        <v>74</v>
      </c>
      <c r="B25" s="25" t="s">
        <v>69</v>
      </c>
      <c r="C25" s="24">
        <v>74850</v>
      </c>
      <c r="E25" s="12" t="str">
        <f t="shared" si="0"/>
        <v>Flat £1,000</v>
      </c>
      <c r="F25" s="12">
        <v>1000</v>
      </c>
      <c r="H25" s="12">
        <f t="shared" si="1"/>
        <v>1000</v>
      </c>
      <c r="J25" s="12" cm="1">
        <f t="array" ref="J25">_xlfn.IFS(B25="Birmingham",C25*0.1,B25="Bristol",C25*0.2,B25="Leeds",1000,B25="London",(C25+20000)*0.15,B25="Manchester",2500,TRUE,0)</f>
        <v>1000</v>
      </c>
      <c r="L25" s="12" cm="1">
        <f t="array" ref="L25">_xlfn.SWITCH(B25,"Birmingham",C25*0.1,"Bristol",C25*0.2,"Leeds",1000,"London",(C25+20000)*0.15,"Manchester",2500,0)</f>
        <v>1000</v>
      </c>
      <c r="N25" s="12">
        <f t="shared" si="2"/>
        <v>1000</v>
      </c>
    </row>
    <row r="26" spans="1:14" x14ac:dyDescent="0.35">
      <c r="A26" s="25" t="s">
        <v>75</v>
      </c>
      <c r="B26" s="25" t="s">
        <v>60</v>
      </c>
      <c r="C26" s="24">
        <v>66400</v>
      </c>
      <c r="E26" s="12" t="str">
        <f t="shared" si="0"/>
        <v>(Sales + £20k) * 15%</v>
      </c>
      <c r="F26" s="12">
        <f>(C26+20000)*0.15</f>
        <v>12960</v>
      </c>
      <c r="H26" s="12">
        <f t="shared" si="1"/>
        <v>12960</v>
      </c>
      <c r="J26" s="12" cm="1">
        <f t="array" ref="J26">_xlfn.IFS(B26="Birmingham",C26*0.1,B26="Bristol",C26*0.2,B26="Leeds",1000,B26="London",(C26+20000)*0.15,B26="Manchester",2500,TRUE,0)</f>
        <v>12960</v>
      </c>
      <c r="L26" s="12" cm="1">
        <f t="array" ref="L26">_xlfn.SWITCH(B26,"Birmingham",C26*0.1,"Bristol",C26*0.2,"Leeds",1000,"London",(C26+20000)*0.15,"Manchester",2500,0)</f>
        <v>12960</v>
      </c>
      <c r="N26" s="12">
        <f t="shared" si="2"/>
        <v>12960</v>
      </c>
    </row>
    <row r="27" spans="1:14" x14ac:dyDescent="0.35">
      <c r="A27" s="25" t="s">
        <v>76</v>
      </c>
      <c r="B27" s="25" t="s">
        <v>62</v>
      </c>
      <c r="C27" s="24">
        <v>80500</v>
      </c>
      <c r="E27" s="12" t="str">
        <f t="shared" si="0"/>
        <v>Flat £2,500</v>
      </c>
      <c r="F27" s="12">
        <v>2500</v>
      </c>
      <c r="H27" s="12">
        <f t="shared" si="1"/>
        <v>2500</v>
      </c>
      <c r="J27" s="12" cm="1">
        <f t="array" ref="J27">_xlfn.IFS(B27="Birmingham",C27*0.1,B27="Bristol",C27*0.2,B27="Leeds",1000,B27="London",(C27+20000)*0.15,B27="Manchester",2500,TRUE,0)</f>
        <v>2500</v>
      </c>
      <c r="L27" s="12" cm="1">
        <f t="array" ref="L27">_xlfn.SWITCH(B27,"Birmingham",C27*0.1,"Bristol",C27*0.2,"Leeds",1000,"London",(C27+20000)*0.15,"Manchester",2500,0)</f>
        <v>2500</v>
      </c>
      <c r="N27" s="12">
        <f t="shared" si="2"/>
        <v>2500</v>
      </c>
    </row>
    <row r="28" spans="1:14" x14ac:dyDescent="0.35">
      <c r="A28" s="25" t="s">
        <v>77</v>
      </c>
      <c r="B28" s="25" t="s">
        <v>64</v>
      </c>
      <c r="C28" s="24">
        <v>72250</v>
      </c>
      <c r="E28" s="12" t="str">
        <f t="shared" si="0"/>
        <v>10% of sales</v>
      </c>
      <c r="F28" s="12">
        <f>C28*0.1</f>
        <v>7225</v>
      </c>
      <c r="H28" s="12">
        <f t="shared" si="1"/>
        <v>7225</v>
      </c>
      <c r="J28" s="12" cm="1">
        <f t="array" ref="J28">_xlfn.IFS(B28="Birmingham",C28*0.1,B28="Bristol",C28*0.2,B28="Leeds",1000,B28="London",(C28+20000)*0.15,B28="Manchester",2500,TRUE,0)</f>
        <v>7225</v>
      </c>
      <c r="L28" s="12" cm="1">
        <f t="array" ref="L28">_xlfn.SWITCH(B28,"Birmingham",C28*0.1,"Bristol",C28*0.2,"Leeds",1000,"London",(C28+20000)*0.15,"Manchester",2500,0)</f>
        <v>7225</v>
      </c>
      <c r="N28" s="12">
        <f t="shared" si="2"/>
        <v>7225</v>
      </c>
    </row>
    <row r="29" spans="1:14" x14ac:dyDescent="0.35">
      <c r="A29" s="25" t="s">
        <v>78</v>
      </c>
      <c r="B29" s="25" t="s">
        <v>67</v>
      </c>
      <c r="C29" s="24">
        <v>95800</v>
      </c>
      <c r="E29" s="12" t="str">
        <f t="shared" si="0"/>
        <v>20% of sales</v>
      </c>
      <c r="F29" s="12">
        <f>C29*0.2</f>
        <v>19160</v>
      </c>
      <c r="H29" s="12">
        <f t="shared" si="1"/>
        <v>19160</v>
      </c>
      <c r="J29" s="12" cm="1">
        <f t="array" ref="J29">_xlfn.IFS(B29="Birmingham",C29*0.1,B29="Bristol",C29*0.2,B29="Leeds",1000,B29="London",(C29+20000)*0.15,B29="Manchester",2500,TRUE,0)</f>
        <v>19160</v>
      </c>
      <c r="L29" s="12" cm="1">
        <f t="array" ref="L29">_xlfn.SWITCH(B29,"Birmingham",C29*0.1,"Bristol",C29*0.2,"Leeds",1000,"London",(C29+20000)*0.15,"Manchester",2500,0)</f>
        <v>19160</v>
      </c>
      <c r="N29" s="12">
        <f t="shared" si="2"/>
        <v>19160</v>
      </c>
    </row>
    <row r="30" spans="1:14" x14ac:dyDescent="0.35">
      <c r="A30" s="25" t="s">
        <v>79</v>
      </c>
      <c r="B30" s="25" t="s">
        <v>69</v>
      </c>
      <c r="C30" s="24">
        <v>61200</v>
      </c>
      <c r="E30" s="12" t="str">
        <f t="shared" si="0"/>
        <v>Flat £1,000</v>
      </c>
      <c r="F30" s="12">
        <v>1000</v>
      </c>
      <c r="H30" s="12">
        <f t="shared" si="1"/>
        <v>1000</v>
      </c>
      <c r="J30" s="12" cm="1">
        <f t="array" ref="J30">_xlfn.IFS(B30="Birmingham",C30*0.1,B30="Bristol",C30*0.2,B30="Leeds",1000,B30="London",(C30+20000)*0.15,B30="Manchester",2500,TRUE,0)</f>
        <v>1000</v>
      </c>
      <c r="L30" s="12" cm="1">
        <f t="array" ref="L30">_xlfn.SWITCH(B30,"Birmingham",C30*0.1,"Bristol",C30*0.2,"Leeds",1000,"London",(C30+20000)*0.15,"Manchester",2500,0)</f>
        <v>1000</v>
      </c>
      <c r="N30" s="12">
        <f t="shared" si="2"/>
        <v>1000</v>
      </c>
    </row>
    <row r="31" spans="1:14" x14ac:dyDescent="0.35">
      <c r="A31" s="25" t="s">
        <v>80</v>
      </c>
      <c r="B31" s="25" t="s">
        <v>60</v>
      </c>
      <c r="C31" s="24">
        <v>88750</v>
      </c>
      <c r="E31" s="12" t="str">
        <f t="shared" si="0"/>
        <v>(Sales + £20k) * 15%</v>
      </c>
      <c r="F31" s="12">
        <f>(C31+20000)*0.15</f>
        <v>16312.5</v>
      </c>
      <c r="H31" s="12">
        <f t="shared" si="1"/>
        <v>16312.5</v>
      </c>
      <c r="J31" s="12" cm="1">
        <f t="array" ref="J31">_xlfn.IFS(B31="Birmingham",C31*0.1,B31="Bristol",C31*0.2,B31="Leeds",1000,B31="London",(C31+20000)*0.15,B31="Manchester",2500,TRUE,0)</f>
        <v>16312.5</v>
      </c>
      <c r="L31" s="12" cm="1">
        <f t="array" ref="L31">_xlfn.SWITCH(B31,"Birmingham",C31*0.1,"Bristol",C31*0.2,"Leeds",1000,"London",(C31+20000)*0.15,"Manchester",2500,0)</f>
        <v>16312.5</v>
      </c>
      <c r="N31" s="12">
        <f t="shared" si="2"/>
        <v>16312.5</v>
      </c>
    </row>
    <row r="32" spans="1:14" x14ac:dyDescent="0.35">
      <c r="A32" s="25" t="s">
        <v>81</v>
      </c>
      <c r="B32" s="25" t="s">
        <v>62</v>
      </c>
      <c r="C32" s="24">
        <v>53900</v>
      </c>
      <c r="E32" s="12" t="str">
        <f t="shared" si="0"/>
        <v>Flat £2,500</v>
      </c>
      <c r="F32" s="12">
        <v>2500</v>
      </c>
      <c r="H32" s="12">
        <f t="shared" si="1"/>
        <v>2500</v>
      </c>
      <c r="J32" s="12" cm="1">
        <f t="array" ref="J32">_xlfn.IFS(B32="Birmingham",C32*0.1,B32="Bristol",C32*0.2,B32="Leeds",1000,B32="London",(C32+20000)*0.15,B32="Manchester",2500,TRUE,0)</f>
        <v>2500</v>
      </c>
      <c r="L32" s="12" cm="1">
        <f t="array" ref="L32">_xlfn.SWITCH(B32,"Birmingham",C32*0.1,"Bristol",C32*0.2,"Leeds",1000,"London",(C32+20000)*0.15,"Manchester",2500,0)</f>
        <v>2500</v>
      </c>
      <c r="N32" s="12">
        <f t="shared" si="2"/>
        <v>2500</v>
      </c>
    </row>
    <row r="33" spans="1:14" x14ac:dyDescent="0.35">
      <c r="A33" s="25" t="s">
        <v>82</v>
      </c>
      <c r="B33" s="25" t="s">
        <v>64</v>
      </c>
      <c r="C33" s="24">
        <v>78150</v>
      </c>
      <c r="E33" s="12" t="str">
        <f t="shared" si="0"/>
        <v>10% of sales</v>
      </c>
      <c r="F33" s="12">
        <f>C33*0.1</f>
        <v>7815</v>
      </c>
      <c r="H33" s="12">
        <f t="shared" si="1"/>
        <v>7815</v>
      </c>
      <c r="J33" s="12" cm="1">
        <f t="array" ref="J33">_xlfn.IFS(B33="Birmingham",C33*0.1,B33="Bristol",C33*0.2,B33="Leeds",1000,B33="London",(C33+20000)*0.15,B33="Manchester",2500,TRUE,0)</f>
        <v>7815</v>
      </c>
      <c r="L33" s="12" cm="1">
        <f t="array" ref="L33">_xlfn.SWITCH(B33,"Birmingham",C33*0.1,"Bristol",C33*0.2,"Leeds",1000,"London",(C33+20000)*0.15,"Manchester",2500,0)</f>
        <v>7815</v>
      </c>
      <c r="N33" s="12">
        <f t="shared" si="2"/>
        <v>7815</v>
      </c>
    </row>
    <row r="34" spans="1:14" x14ac:dyDescent="0.35">
      <c r="A34" s="25" t="s">
        <v>83</v>
      </c>
      <c r="B34" s="25" t="s">
        <v>67</v>
      </c>
      <c r="C34" s="24">
        <v>84500</v>
      </c>
      <c r="E34" s="12" t="str">
        <f t="shared" si="0"/>
        <v>20% of sales</v>
      </c>
      <c r="F34" s="12">
        <f>C34*0.2</f>
        <v>16900</v>
      </c>
      <c r="H34" s="12">
        <f t="shared" si="1"/>
        <v>16900</v>
      </c>
      <c r="J34" s="12" cm="1">
        <f t="array" ref="J34">_xlfn.IFS(B34="Birmingham",C34*0.1,B34="Bristol",C34*0.2,B34="Leeds",1000,B34="London",(C34+20000)*0.15,B34="Manchester",2500,TRUE,0)</f>
        <v>16900</v>
      </c>
      <c r="L34" s="12" cm="1">
        <f t="array" ref="L34">_xlfn.SWITCH(B34,"Birmingham",C34*0.1,"Bristol",C34*0.2,"Leeds",1000,"London",(C34+20000)*0.15,"Manchester",2500,0)</f>
        <v>16900</v>
      </c>
      <c r="N34" s="12">
        <f t="shared" si="2"/>
        <v>16900</v>
      </c>
    </row>
    <row r="36" spans="1:14" ht="57.65" customHeight="1" x14ac:dyDescent="0.35">
      <c r="C36" s="13" t="s">
        <v>189</v>
      </c>
      <c r="H36" s="30" t="s">
        <v>144</v>
      </c>
      <c r="J36" s="30" t="s">
        <v>146</v>
      </c>
      <c r="L36" s="30"/>
      <c r="N36" s="30"/>
    </row>
    <row r="37" spans="1:14" ht="58" x14ac:dyDescent="0.35">
      <c r="C37" s="13" t="s">
        <v>24</v>
      </c>
      <c r="H37" s="30" t="s">
        <v>145</v>
      </c>
      <c r="J37" s="30" t="s">
        <v>147</v>
      </c>
      <c r="L37" s="30"/>
      <c r="N37" s="30"/>
    </row>
    <row r="38" spans="1:14" ht="58" x14ac:dyDescent="0.35">
      <c r="C38" s="27" t="s">
        <v>190</v>
      </c>
      <c r="L38" s="30" t="s">
        <v>148</v>
      </c>
      <c r="N38" s="30" t="s">
        <v>389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4FED3-5C7C-426C-A7DF-C004321810AD}">
  <sheetPr codeName="Sheet10"/>
  <dimension ref="A1:U29"/>
  <sheetViews>
    <sheetView zoomScale="130" zoomScaleNormal="130" workbookViewId="0"/>
  </sheetViews>
  <sheetFormatPr defaultColWidth="8.90625" defaultRowHeight="14.5" x14ac:dyDescent="0.35"/>
  <cols>
    <col min="1" max="10" width="16.453125" style="12" customWidth="1"/>
    <col min="11" max="11" width="1.90625" style="12" customWidth="1"/>
    <col min="12" max="12" width="34.08984375" style="12" customWidth="1"/>
    <col min="13" max="13" width="1.90625" style="12" customWidth="1"/>
    <col min="14" max="17" width="23.7265625" style="12" customWidth="1"/>
    <col min="18" max="18" width="1.90625" style="12" customWidth="1"/>
    <col min="19" max="19" width="37.26953125" style="12" customWidth="1"/>
    <col min="20" max="20" width="1.90625" style="12" customWidth="1"/>
    <col min="21" max="21" width="8.453125" style="12" bestFit="1" customWidth="1"/>
    <col min="22" max="16384" width="8.90625" style="12"/>
  </cols>
  <sheetData>
    <row r="1" spans="1:21" s="19" customFormat="1" ht="21" x14ac:dyDescent="0.35">
      <c r="A1" s="19" t="s">
        <v>149</v>
      </c>
    </row>
    <row r="2" spans="1:21" s="4" customFormat="1" ht="17" x14ac:dyDescent="0.35">
      <c r="A2" s="4" t="s">
        <v>390</v>
      </c>
    </row>
    <row r="3" spans="1:21" ht="16" x14ac:dyDescent="0.35">
      <c r="A3" s="6" t="s">
        <v>13</v>
      </c>
      <c r="B3" s="6"/>
      <c r="C3" s="6"/>
      <c r="D3" s="6"/>
      <c r="E3" s="6"/>
      <c r="F3" s="6"/>
      <c r="G3" s="6"/>
      <c r="H3" s="6"/>
      <c r="I3" s="6"/>
      <c r="J3" s="6"/>
      <c r="L3" s="6" t="s">
        <v>151</v>
      </c>
      <c r="N3" s="6" t="s">
        <v>164</v>
      </c>
      <c r="O3" s="6"/>
      <c r="P3" s="6"/>
      <c r="Q3" s="6"/>
      <c r="S3" s="6" t="s">
        <v>150</v>
      </c>
    </row>
    <row r="4" spans="1:21" s="21" customFormat="1" x14ac:dyDescent="0.35">
      <c r="A4" s="21" t="s">
        <v>56</v>
      </c>
      <c r="B4" s="21" t="s">
        <v>57</v>
      </c>
      <c r="C4" s="21" t="s">
        <v>152</v>
      </c>
      <c r="D4" s="21" t="s">
        <v>153</v>
      </c>
      <c r="E4" s="21" t="s">
        <v>154</v>
      </c>
      <c r="F4" s="21" t="s">
        <v>155</v>
      </c>
      <c r="G4" s="21" t="s">
        <v>156</v>
      </c>
      <c r="H4" s="21" t="s">
        <v>157</v>
      </c>
      <c r="I4" s="21" t="s">
        <v>158</v>
      </c>
      <c r="J4" s="21" t="s">
        <v>159</v>
      </c>
      <c r="L4" s="21" t="s">
        <v>160</v>
      </c>
      <c r="M4" s="23"/>
      <c r="N4" s="22" t="s">
        <v>166</v>
      </c>
      <c r="O4" s="22" t="s">
        <v>167</v>
      </c>
      <c r="P4" s="21" t="s">
        <v>165</v>
      </c>
      <c r="Q4" s="21" t="s">
        <v>160</v>
      </c>
      <c r="R4" s="23"/>
      <c r="S4" s="21" t="s">
        <v>160</v>
      </c>
      <c r="U4" s="12"/>
    </row>
    <row r="5" spans="1:21" s="10" customFormat="1" ht="79" customHeight="1" x14ac:dyDescent="0.35">
      <c r="L5" s="11" t="str">
        <f ca="1">_xlfn.FORMULATEXT(L6)</f>
        <v>=IF(SUM(C6:F6)=0,"n/a",
(SUM(G6:J6)-SUM(C6:F6))/SUM(C6:F6))</v>
      </c>
      <c r="N5" s="11" t="str">
        <f t="shared" ref="N5:P5" ca="1" si="0">_xlfn.FORMULATEXT(N6)</f>
        <v>=SUM(C6:F6)</v>
      </c>
      <c r="O5" s="11" t="str">
        <f t="shared" ca="1" si="0"/>
        <v>=SUM(G6:J6)</v>
      </c>
      <c r="P5" s="11" t="str">
        <f t="shared" ca="1" si="0"/>
        <v>=O6-N6</v>
      </c>
      <c r="Q5" s="11" t="str">
        <f ca="1">_xlfn.FORMULATEXT(Q6)</f>
        <v>=IF(N6=0,"n/a",P6/N6)</v>
      </c>
      <c r="S5" s="11" t="e">
        <f ca="1">_xlfn.FORMULATEXT(S6)</f>
        <v>#N/A</v>
      </c>
      <c r="U5" s="12"/>
    </row>
    <row r="6" spans="1:21" x14ac:dyDescent="0.35">
      <c r="A6" s="25" t="s">
        <v>59</v>
      </c>
      <c r="B6" s="25" t="s">
        <v>60</v>
      </c>
      <c r="C6" s="24">
        <v>98600</v>
      </c>
      <c r="D6" s="24">
        <v>98600</v>
      </c>
      <c r="E6" s="24">
        <v>102500</v>
      </c>
      <c r="F6" s="24">
        <v>93300</v>
      </c>
      <c r="G6" s="24">
        <v>81200</v>
      </c>
      <c r="H6" s="24">
        <v>85300</v>
      </c>
      <c r="I6" s="24">
        <v>82700</v>
      </c>
      <c r="J6" s="24">
        <v>76900</v>
      </c>
      <c r="L6" s="31">
        <f>IF(SUM(C6:F6)=0,"n/a",
(SUM(G6:J6)-SUM(C6:F6))/SUM(C6:F6))</f>
        <v>-0.17022900763358778</v>
      </c>
      <c r="N6" s="12">
        <f>SUM(C6:F6)</f>
        <v>393000</v>
      </c>
      <c r="O6" s="12">
        <f>SUM(G6:J6)</f>
        <v>326100</v>
      </c>
      <c r="P6" s="12">
        <f>O6-N6</f>
        <v>-66900</v>
      </c>
      <c r="Q6" s="31">
        <f>IF(N6=0,"n/a",P6/N6)</f>
        <v>-0.17022900763358778</v>
      </c>
      <c r="S6" s="31" t="s">
        <v>431</v>
      </c>
    </row>
    <row r="7" spans="1:21" x14ac:dyDescent="0.35">
      <c r="A7" s="25" t="s">
        <v>61</v>
      </c>
      <c r="B7" s="25" t="s">
        <v>62</v>
      </c>
      <c r="C7" s="24">
        <v>72000</v>
      </c>
      <c r="D7" s="24">
        <v>70600</v>
      </c>
      <c r="E7" s="24">
        <v>80500</v>
      </c>
      <c r="F7" s="24">
        <v>74900</v>
      </c>
      <c r="G7" s="24">
        <v>62900</v>
      </c>
      <c r="H7" s="24">
        <v>61000</v>
      </c>
      <c r="I7" s="24">
        <v>66500</v>
      </c>
      <c r="J7" s="24">
        <v>65200</v>
      </c>
      <c r="L7" s="31">
        <f t="shared" ref="L7:L25" si="1">IF(SUM(C7:F7)=0,"n/a",
(SUM(G7:J7)-SUM(C7:F7))/SUM(C7:F7))</f>
        <v>-0.14228187919463087</v>
      </c>
      <c r="N7" s="12">
        <f t="shared" ref="N7:N25" si="2">SUM(C7:F7)</f>
        <v>298000</v>
      </c>
      <c r="O7" s="12">
        <f t="shared" ref="O7:O25" si="3">SUM(G7:J7)</f>
        <v>255600</v>
      </c>
      <c r="P7" s="12">
        <f t="shared" ref="P7:P25" si="4">O7-N7</f>
        <v>-42400</v>
      </c>
      <c r="Q7" s="31">
        <f t="shared" ref="Q7:Q25" si="5">IF(N7=0,"n/a",P7/N7)</f>
        <v>-0.14228187919463087</v>
      </c>
      <c r="S7" s="31">
        <f>_xlfn.LET(
_xlpm.Year1,SUM(C7:F7),
_xlpm.Year2,SUM(G7:J7),
IF(_xlpm.Year1=0,"n/a",(_xlpm.Year2-_xlpm.Year1)/_xlpm.Year1)
)</f>
        <v>-0.14228187919463087</v>
      </c>
    </row>
    <row r="8" spans="1:21" x14ac:dyDescent="0.35">
      <c r="A8" s="25" t="s">
        <v>63</v>
      </c>
      <c r="B8" s="25" t="s">
        <v>64</v>
      </c>
      <c r="C8" s="24">
        <v>127400</v>
      </c>
      <c r="D8" s="24">
        <v>140100</v>
      </c>
      <c r="E8" s="24">
        <v>131700</v>
      </c>
      <c r="F8" s="24">
        <v>118500</v>
      </c>
      <c r="G8" s="24">
        <v>109000</v>
      </c>
      <c r="H8" s="24">
        <v>93700</v>
      </c>
      <c r="I8" s="24">
        <v>88100</v>
      </c>
      <c r="J8" s="24">
        <v>105700</v>
      </c>
      <c r="L8" s="31">
        <f t="shared" si="1"/>
        <v>-0.23411242032064902</v>
      </c>
      <c r="N8" s="12">
        <f t="shared" si="2"/>
        <v>517700</v>
      </c>
      <c r="O8" s="12">
        <f t="shared" si="3"/>
        <v>396500</v>
      </c>
      <c r="P8" s="12">
        <f t="shared" si="4"/>
        <v>-121200</v>
      </c>
      <c r="Q8" s="31">
        <f t="shared" si="5"/>
        <v>-0.23411242032064902</v>
      </c>
      <c r="S8" s="31">
        <f t="shared" ref="S8:S25" si="6">_xlfn.LET(
_xlpm.Year1,SUM(C8:F8),
_xlpm.Year2,SUM(G8:J8),
IF(_xlpm.Year1=0,"n/a",(_xlpm.Year2-_xlpm.Year1)/_xlpm.Year1)
)</f>
        <v>-0.23411242032064902</v>
      </c>
    </row>
    <row r="9" spans="1:21" x14ac:dyDescent="0.35">
      <c r="A9" s="25" t="s">
        <v>65</v>
      </c>
      <c r="B9" s="25" t="s">
        <v>60</v>
      </c>
      <c r="C9" s="24">
        <v>0</v>
      </c>
      <c r="D9" s="24">
        <v>0</v>
      </c>
      <c r="E9" s="24">
        <v>0</v>
      </c>
      <c r="F9" s="24">
        <v>0</v>
      </c>
      <c r="G9" s="24">
        <v>0</v>
      </c>
      <c r="H9" s="24">
        <v>0</v>
      </c>
      <c r="I9" s="24">
        <v>0</v>
      </c>
      <c r="J9" s="24">
        <v>0</v>
      </c>
      <c r="L9" s="31" t="str">
        <f t="shared" si="1"/>
        <v>n/a</v>
      </c>
      <c r="N9" s="12">
        <f t="shared" si="2"/>
        <v>0</v>
      </c>
      <c r="O9" s="12">
        <f t="shared" si="3"/>
        <v>0</v>
      </c>
      <c r="P9" s="12">
        <f t="shared" si="4"/>
        <v>0</v>
      </c>
      <c r="Q9" s="31" t="str">
        <f t="shared" si="5"/>
        <v>n/a</v>
      </c>
      <c r="S9" s="31" t="str">
        <f t="shared" si="6"/>
        <v>n/a</v>
      </c>
    </row>
    <row r="10" spans="1:21" x14ac:dyDescent="0.35">
      <c r="A10" s="25" t="s">
        <v>66</v>
      </c>
      <c r="B10" s="25" t="s">
        <v>67</v>
      </c>
      <c r="C10" s="24">
        <v>55400</v>
      </c>
      <c r="D10" s="24">
        <v>47100</v>
      </c>
      <c r="E10" s="24">
        <v>44300</v>
      </c>
      <c r="F10" s="24">
        <v>52300</v>
      </c>
      <c r="G10" s="24">
        <v>47100</v>
      </c>
      <c r="H10" s="24">
        <v>54600</v>
      </c>
      <c r="I10" s="24">
        <v>63300</v>
      </c>
      <c r="J10" s="24">
        <v>54400</v>
      </c>
      <c r="L10" s="31">
        <f t="shared" si="1"/>
        <v>0.10195881466599699</v>
      </c>
      <c r="N10" s="12">
        <f t="shared" si="2"/>
        <v>199100</v>
      </c>
      <c r="O10" s="12">
        <f t="shared" si="3"/>
        <v>219400</v>
      </c>
      <c r="P10" s="12">
        <f t="shared" si="4"/>
        <v>20300</v>
      </c>
      <c r="Q10" s="31">
        <f t="shared" si="5"/>
        <v>0.10195881466599699</v>
      </c>
      <c r="S10" s="31">
        <f t="shared" si="6"/>
        <v>0.10195881466599699</v>
      </c>
    </row>
    <row r="11" spans="1:21" x14ac:dyDescent="0.35">
      <c r="A11" s="25" t="s">
        <v>68</v>
      </c>
      <c r="B11" s="25" t="s">
        <v>69</v>
      </c>
      <c r="C11" s="24">
        <v>95800</v>
      </c>
      <c r="D11" s="24">
        <v>99600</v>
      </c>
      <c r="E11" s="24">
        <v>90600</v>
      </c>
      <c r="F11" s="24">
        <v>84300</v>
      </c>
      <c r="G11" s="24">
        <v>68300</v>
      </c>
      <c r="H11" s="24">
        <v>71700</v>
      </c>
      <c r="I11" s="24">
        <v>76700</v>
      </c>
      <c r="J11" s="24">
        <v>71300</v>
      </c>
      <c r="L11" s="31">
        <f t="shared" si="1"/>
        <v>-0.22225222792330543</v>
      </c>
      <c r="N11" s="12">
        <f t="shared" si="2"/>
        <v>370300</v>
      </c>
      <c r="O11" s="12">
        <f t="shared" si="3"/>
        <v>288000</v>
      </c>
      <c r="P11" s="12">
        <f t="shared" si="4"/>
        <v>-82300</v>
      </c>
      <c r="Q11" s="31">
        <f t="shared" si="5"/>
        <v>-0.22225222792330543</v>
      </c>
      <c r="S11" s="31">
        <f t="shared" si="6"/>
        <v>-0.22225222792330543</v>
      </c>
    </row>
    <row r="12" spans="1:21" x14ac:dyDescent="0.35">
      <c r="A12" s="25" t="s">
        <v>70</v>
      </c>
      <c r="B12" s="25" t="s">
        <v>60</v>
      </c>
      <c r="C12" s="24">
        <v>101300</v>
      </c>
      <c r="D12" s="24">
        <v>114500</v>
      </c>
      <c r="E12" s="24">
        <v>126000</v>
      </c>
      <c r="F12" s="24">
        <v>128500</v>
      </c>
      <c r="G12" s="24">
        <v>115700</v>
      </c>
      <c r="H12" s="24">
        <v>94900</v>
      </c>
      <c r="I12" s="24">
        <v>106300</v>
      </c>
      <c r="J12" s="24">
        <v>93500</v>
      </c>
      <c r="L12" s="31">
        <f t="shared" si="1"/>
        <v>-0.12736551137571764</v>
      </c>
      <c r="N12" s="12">
        <f t="shared" si="2"/>
        <v>470300</v>
      </c>
      <c r="O12" s="12">
        <f t="shared" si="3"/>
        <v>410400</v>
      </c>
      <c r="P12" s="12">
        <f t="shared" si="4"/>
        <v>-59900</v>
      </c>
      <c r="Q12" s="31">
        <f t="shared" si="5"/>
        <v>-0.12736551137571764</v>
      </c>
      <c r="S12" s="31">
        <f t="shared" si="6"/>
        <v>-0.12736551137571764</v>
      </c>
    </row>
    <row r="13" spans="1:21" x14ac:dyDescent="0.35">
      <c r="A13" s="25" t="s">
        <v>71</v>
      </c>
      <c r="B13" s="25" t="s">
        <v>62</v>
      </c>
      <c r="C13" s="24">
        <v>25800</v>
      </c>
      <c r="D13" s="24">
        <v>20900</v>
      </c>
      <c r="E13" s="24">
        <v>21100</v>
      </c>
      <c r="F13" s="24">
        <v>21500</v>
      </c>
      <c r="G13" s="24">
        <v>20400</v>
      </c>
      <c r="H13" s="24">
        <v>24500</v>
      </c>
      <c r="I13" s="24">
        <v>29200</v>
      </c>
      <c r="J13" s="24">
        <v>33600</v>
      </c>
      <c r="L13" s="31">
        <f t="shared" si="1"/>
        <v>0.20604703247480402</v>
      </c>
      <c r="N13" s="12">
        <f t="shared" si="2"/>
        <v>89300</v>
      </c>
      <c r="O13" s="12">
        <f t="shared" si="3"/>
        <v>107700</v>
      </c>
      <c r="P13" s="12">
        <f t="shared" si="4"/>
        <v>18400</v>
      </c>
      <c r="Q13" s="31">
        <f t="shared" si="5"/>
        <v>0.20604703247480402</v>
      </c>
      <c r="S13" s="31">
        <f t="shared" si="6"/>
        <v>0.20604703247480402</v>
      </c>
    </row>
    <row r="14" spans="1:21" x14ac:dyDescent="0.35">
      <c r="A14" s="25" t="s">
        <v>72</v>
      </c>
      <c r="B14" s="25" t="s">
        <v>64</v>
      </c>
      <c r="C14" s="24">
        <v>95300</v>
      </c>
      <c r="D14" s="24">
        <v>79100</v>
      </c>
      <c r="E14" s="24">
        <v>93300</v>
      </c>
      <c r="F14" s="24">
        <v>79300</v>
      </c>
      <c r="G14" s="24">
        <v>91200</v>
      </c>
      <c r="H14" s="24">
        <v>75700</v>
      </c>
      <c r="I14" s="24">
        <v>83300</v>
      </c>
      <c r="J14" s="24">
        <v>76600</v>
      </c>
      <c r="L14" s="31">
        <f t="shared" si="1"/>
        <v>-5.8213256484149857E-2</v>
      </c>
      <c r="N14" s="12">
        <f t="shared" si="2"/>
        <v>347000</v>
      </c>
      <c r="O14" s="12">
        <f t="shared" si="3"/>
        <v>326800</v>
      </c>
      <c r="P14" s="12">
        <f t="shared" si="4"/>
        <v>-20200</v>
      </c>
      <c r="Q14" s="31">
        <f t="shared" si="5"/>
        <v>-5.8213256484149857E-2</v>
      </c>
      <c r="S14" s="31">
        <f t="shared" si="6"/>
        <v>-5.8213256484149857E-2</v>
      </c>
    </row>
    <row r="15" spans="1:21" x14ac:dyDescent="0.35">
      <c r="A15" s="25" t="s">
        <v>73</v>
      </c>
      <c r="B15" s="25" t="s">
        <v>67</v>
      </c>
      <c r="C15" s="24">
        <v>86900</v>
      </c>
      <c r="D15" s="24">
        <v>103400</v>
      </c>
      <c r="E15" s="24">
        <v>109600</v>
      </c>
      <c r="F15" s="24">
        <v>92100</v>
      </c>
      <c r="G15" s="24">
        <v>75500</v>
      </c>
      <c r="H15" s="24">
        <v>76300</v>
      </c>
      <c r="I15" s="24">
        <v>84700</v>
      </c>
      <c r="J15" s="24">
        <v>75400</v>
      </c>
      <c r="L15" s="31">
        <f t="shared" si="1"/>
        <v>-0.20433673469387756</v>
      </c>
      <c r="N15" s="12">
        <f t="shared" si="2"/>
        <v>392000</v>
      </c>
      <c r="O15" s="12">
        <f t="shared" si="3"/>
        <v>311900</v>
      </c>
      <c r="P15" s="12">
        <f t="shared" si="4"/>
        <v>-80100</v>
      </c>
      <c r="Q15" s="31">
        <f t="shared" si="5"/>
        <v>-0.20433673469387756</v>
      </c>
      <c r="S15" s="31">
        <f t="shared" si="6"/>
        <v>-0.20433673469387756</v>
      </c>
    </row>
    <row r="16" spans="1:21" x14ac:dyDescent="0.35">
      <c r="A16" s="25" t="s">
        <v>74</v>
      </c>
      <c r="B16" s="25" t="s">
        <v>69</v>
      </c>
      <c r="C16" s="24">
        <v>40400</v>
      </c>
      <c r="D16" s="24">
        <v>44800</v>
      </c>
      <c r="E16" s="24">
        <v>39000</v>
      </c>
      <c r="F16" s="24">
        <v>33500</v>
      </c>
      <c r="G16" s="24">
        <v>34200</v>
      </c>
      <c r="H16" s="24">
        <v>39300</v>
      </c>
      <c r="I16" s="24">
        <v>33400</v>
      </c>
      <c r="J16" s="24">
        <v>32700</v>
      </c>
      <c r="L16" s="31">
        <f t="shared" si="1"/>
        <v>-0.11477488902980343</v>
      </c>
      <c r="N16" s="12">
        <f t="shared" si="2"/>
        <v>157700</v>
      </c>
      <c r="O16" s="12">
        <f t="shared" si="3"/>
        <v>139600</v>
      </c>
      <c r="P16" s="12">
        <f t="shared" si="4"/>
        <v>-18100</v>
      </c>
      <c r="Q16" s="31">
        <f t="shared" si="5"/>
        <v>-0.11477488902980343</v>
      </c>
      <c r="S16" s="31">
        <f t="shared" si="6"/>
        <v>-0.11477488902980343</v>
      </c>
    </row>
    <row r="17" spans="1:19" x14ac:dyDescent="0.35">
      <c r="A17" s="25" t="s">
        <v>75</v>
      </c>
      <c r="B17" s="25" t="s">
        <v>60</v>
      </c>
      <c r="C17" s="24">
        <v>33900</v>
      </c>
      <c r="D17" s="24">
        <v>39000</v>
      </c>
      <c r="E17" s="24">
        <v>33500</v>
      </c>
      <c r="F17" s="24">
        <v>30200</v>
      </c>
      <c r="G17" s="24">
        <v>28400</v>
      </c>
      <c r="H17" s="24">
        <v>31000</v>
      </c>
      <c r="I17" s="24">
        <v>33200</v>
      </c>
      <c r="J17" s="24">
        <v>29200</v>
      </c>
      <c r="L17" s="31">
        <f t="shared" si="1"/>
        <v>-0.10834553440702782</v>
      </c>
      <c r="N17" s="12">
        <f t="shared" si="2"/>
        <v>136600</v>
      </c>
      <c r="O17" s="12">
        <f t="shared" si="3"/>
        <v>121800</v>
      </c>
      <c r="P17" s="12">
        <f t="shared" si="4"/>
        <v>-14800</v>
      </c>
      <c r="Q17" s="31">
        <f t="shared" si="5"/>
        <v>-0.10834553440702782</v>
      </c>
      <c r="S17" s="31">
        <f t="shared" si="6"/>
        <v>-0.10834553440702782</v>
      </c>
    </row>
    <row r="18" spans="1:19" x14ac:dyDescent="0.35">
      <c r="A18" s="25" t="s">
        <v>76</v>
      </c>
      <c r="B18" s="25" t="s">
        <v>62</v>
      </c>
      <c r="C18" s="24">
        <v>95000</v>
      </c>
      <c r="D18" s="24">
        <v>90300</v>
      </c>
      <c r="E18" s="24">
        <v>96600</v>
      </c>
      <c r="F18" s="24">
        <v>109200</v>
      </c>
      <c r="G18" s="24">
        <v>97200</v>
      </c>
      <c r="H18" s="24">
        <v>110800</v>
      </c>
      <c r="I18" s="24">
        <v>127400</v>
      </c>
      <c r="J18" s="24">
        <v>136300</v>
      </c>
      <c r="L18" s="31">
        <f t="shared" si="1"/>
        <v>0.20608540015341345</v>
      </c>
      <c r="N18" s="12">
        <f t="shared" si="2"/>
        <v>391100</v>
      </c>
      <c r="O18" s="12">
        <f t="shared" si="3"/>
        <v>471700</v>
      </c>
      <c r="P18" s="12">
        <f t="shared" si="4"/>
        <v>80600</v>
      </c>
      <c r="Q18" s="31">
        <f t="shared" si="5"/>
        <v>0.20608540015341345</v>
      </c>
      <c r="S18" s="31">
        <f t="shared" si="6"/>
        <v>0.20608540015341345</v>
      </c>
    </row>
    <row r="19" spans="1:19" x14ac:dyDescent="0.35">
      <c r="A19" s="25" t="s">
        <v>77</v>
      </c>
      <c r="B19" s="25" t="s">
        <v>64</v>
      </c>
      <c r="C19" s="24">
        <v>58500</v>
      </c>
      <c r="D19" s="24">
        <v>66100</v>
      </c>
      <c r="E19" s="24">
        <v>74000</v>
      </c>
      <c r="F19" s="24">
        <v>59900</v>
      </c>
      <c r="G19" s="24">
        <v>63500</v>
      </c>
      <c r="H19" s="24">
        <v>75600</v>
      </c>
      <c r="I19" s="24">
        <v>69600</v>
      </c>
      <c r="J19" s="24">
        <v>63300</v>
      </c>
      <c r="L19" s="31">
        <f t="shared" si="1"/>
        <v>5.2224371373307543E-2</v>
      </c>
      <c r="N19" s="12">
        <f t="shared" si="2"/>
        <v>258500</v>
      </c>
      <c r="O19" s="12">
        <f t="shared" si="3"/>
        <v>272000</v>
      </c>
      <c r="P19" s="12">
        <f t="shared" si="4"/>
        <v>13500</v>
      </c>
      <c r="Q19" s="31">
        <f t="shared" si="5"/>
        <v>5.2224371373307543E-2</v>
      </c>
      <c r="S19" s="31">
        <f t="shared" si="6"/>
        <v>5.2224371373307543E-2</v>
      </c>
    </row>
    <row r="20" spans="1:19" x14ac:dyDescent="0.35">
      <c r="A20" s="25" t="s">
        <v>78</v>
      </c>
      <c r="B20" s="25" t="s">
        <v>67</v>
      </c>
      <c r="C20" s="24">
        <v>66100</v>
      </c>
      <c r="D20" s="24">
        <v>71400</v>
      </c>
      <c r="E20" s="24">
        <v>71400</v>
      </c>
      <c r="F20" s="24">
        <v>68500</v>
      </c>
      <c r="G20" s="24">
        <v>80100</v>
      </c>
      <c r="H20" s="24">
        <v>87300</v>
      </c>
      <c r="I20" s="24">
        <v>96000</v>
      </c>
      <c r="J20" s="24">
        <v>103700</v>
      </c>
      <c r="L20" s="31">
        <f t="shared" si="1"/>
        <v>0.32335976928622928</v>
      </c>
      <c r="N20" s="12">
        <f t="shared" si="2"/>
        <v>277400</v>
      </c>
      <c r="O20" s="12">
        <f t="shared" si="3"/>
        <v>367100</v>
      </c>
      <c r="P20" s="12">
        <f t="shared" si="4"/>
        <v>89700</v>
      </c>
      <c r="Q20" s="31">
        <f t="shared" si="5"/>
        <v>0.32335976928622928</v>
      </c>
      <c r="S20" s="31">
        <f t="shared" si="6"/>
        <v>0.32335976928622928</v>
      </c>
    </row>
    <row r="21" spans="1:19" x14ac:dyDescent="0.35">
      <c r="A21" s="25" t="s">
        <v>79</v>
      </c>
      <c r="B21" s="25" t="s">
        <v>69</v>
      </c>
      <c r="C21" s="24">
        <v>54500</v>
      </c>
      <c r="D21" s="24">
        <v>56700</v>
      </c>
      <c r="E21" s="24">
        <v>48800</v>
      </c>
      <c r="F21" s="24">
        <v>39000</v>
      </c>
      <c r="G21" s="24">
        <v>37100</v>
      </c>
      <c r="H21" s="24">
        <v>39700</v>
      </c>
      <c r="I21" s="24">
        <v>34100</v>
      </c>
      <c r="J21" s="24">
        <v>28600</v>
      </c>
      <c r="L21" s="31">
        <f t="shared" si="1"/>
        <v>-0.29899497487437188</v>
      </c>
      <c r="N21" s="12">
        <f t="shared" si="2"/>
        <v>199000</v>
      </c>
      <c r="O21" s="12">
        <f t="shared" si="3"/>
        <v>139500</v>
      </c>
      <c r="P21" s="12">
        <f t="shared" si="4"/>
        <v>-59500</v>
      </c>
      <c r="Q21" s="31">
        <f t="shared" si="5"/>
        <v>-0.29899497487437188</v>
      </c>
      <c r="S21" s="31">
        <f t="shared" si="6"/>
        <v>-0.29899497487437188</v>
      </c>
    </row>
    <row r="22" spans="1:19" x14ac:dyDescent="0.35">
      <c r="A22" s="25" t="s">
        <v>80</v>
      </c>
      <c r="B22" s="25" t="s">
        <v>60</v>
      </c>
      <c r="C22" s="24">
        <v>77200</v>
      </c>
      <c r="D22" s="24">
        <v>81100</v>
      </c>
      <c r="E22" s="24">
        <v>91600</v>
      </c>
      <c r="F22" s="24">
        <v>89800</v>
      </c>
      <c r="G22" s="24">
        <v>80800</v>
      </c>
      <c r="H22" s="24">
        <v>94500</v>
      </c>
      <c r="I22" s="24">
        <v>99200</v>
      </c>
      <c r="J22" s="24">
        <v>94200</v>
      </c>
      <c r="L22" s="31">
        <f t="shared" si="1"/>
        <v>8.5369443626729463E-2</v>
      </c>
      <c r="N22" s="12">
        <f t="shared" si="2"/>
        <v>339700</v>
      </c>
      <c r="O22" s="12">
        <f t="shared" si="3"/>
        <v>368700</v>
      </c>
      <c r="P22" s="12">
        <f t="shared" si="4"/>
        <v>29000</v>
      </c>
      <c r="Q22" s="31">
        <f t="shared" si="5"/>
        <v>8.5369443626729463E-2</v>
      </c>
      <c r="S22" s="31">
        <f t="shared" si="6"/>
        <v>8.5369443626729463E-2</v>
      </c>
    </row>
    <row r="23" spans="1:19" x14ac:dyDescent="0.35">
      <c r="A23" s="25" t="s">
        <v>81</v>
      </c>
      <c r="B23" s="25" t="s">
        <v>62</v>
      </c>
      <c r="C23" s="24">
        <v>70100</v>
      </c>
      <c r="D23" s="24">
        <v>73600</v>
      </c>
      <c r="E23" s="24">
        <v>67700</v>
      </c>
      <c r="F23" s="24">
        <v>61600</v>
      </c>
      <c r="G23" s="24">
        <v>64100</v>
      </c>
      <c r="H23" s="24">
        <v>54500</v>
      </c>
      <c r="I23" s="24">
        <v>54500</v>
      </c>
      <c r="J23" s="24">
        <v>64300</v>
      </c>
      <c r="L23" s="31">
        <f t="shared" si="1"/>
        <v>-0.13040293040293041</v>
      </c>
      <c r="N23" s="12">
        <f t="shared" si="2"/>
        <v>273000</v>
      </c>
      <c r="O23" s="12">
        <f t="shared" si="3"/>
        <v>237400</v>
      </c>
      <c r="P23" s="12">
        <f t="shared" si="4"/>
        <v>-35600</v>
      </c>
      <c r="Q23" s="31">
        <f t="shared" si="5"/>
        <v>-0.13040293040293041</v>
      </c>
      <c r="S23" s="31">
        <f t="shared" si="6"/>
        <v>-0.13040293040293041</v>
      </c>
    </row>
    <row r="24" spans="1:19" x14ac:dyDescent="0.35">
      <c r="A24" s="25" t="s">
        <v>82</v>
      </c>
      <c r="B24" s="25" t="s">
        <v>64</v>
      </c>
      <c r="C24" s="24">
        <v>94600</v>
      </c>
      <c r="D24" s="24">
        <v>107800</v>
      </c>
      <c r="E24" s="24">
        <v>103500</v>
      </c>
      <c r="F24" s="24">
        <v>99400</v>
      </c>
      <c r="G24" s="24">
        <v>101400</v>
      </c>
      <c r="H24" s="24">
        <v>103400</v>
      </c>
      <c r="I24" s="24">
        <v>123000</v>
      </c>
      <c r="J24" s="24">
        <v>118100</v>
      </c>
      <c r="L24" s="31">
        <f t="shared" si="1"/>
        <v>0.1001727115716753</v>
      </c>
      <c r="N24" s="12">
        <f t="shared" si="2"/>
        <v>405300</v>
      </c>
      <c r="O24" s="12">
        <f t="shared" si="3"/>
        <v>445900</v>
      </c>
      <c r="P24" s="12">
        <f t="shared" si="4"/>
        <v>40600</v>
      </c>
      <c r="Q24" s="31">
        <f t="shared" si="5"/>
        <v>0.1001727115716753</v>
      </c>
      <c r="S24" s="31">
        <f t="shared" si="6"/>
        <v>0.1001727115716753</v>
      </c>
    </row>
    <row r="25" spans="1:19" x14ac:dyDescent="0.35">
      <c r="A25" s="25" t="s">
        <v>83</v>
      </c>
      <c r="B25" s="25" t="s">
        <v>67</v>
      </c>
      <c r="C25" s="24">
        <v>70100</v>
      </c>
      <c r="D25" s="24">
        <v>77100</v>
      </c>
      <c r="E25" s="24">
        <v>77100</v>
      </c>
      <c r="F25" s="24">
        <v>70900</v>
      </c>
      <c r="G25" s="24">
        <v>75900</v>
      </c>
      <c r="H25" s="24">
        <v>78900</v>
      </c>
      <c r="I25" s="24">
        <v>66300</v>
      </c>
      <c r="J25" s="24">
        <v>73600</v>
      </c>
      <c r="L25" s="31">
        <f t="shared" si="1"/>
        <v>-1.6937669376693768E-3</v>
      </c>
      <c r="N25" s="12">
        <f t="shared" si="2"/>
        <v>295200</v>
      </c>
      <c r="O25" s="12">
        <f t="shared" si="3"/>
        <v>294700</v>
      </c>
      <c r="P25" s="12">
        <f t="shared" si="4"/>
        <v>-500</v>
      </c>
      <c r="Q25" s="31">
        <f t="shared" si="5"/>
        <v>-1.6937669376693768E-3</v>
      </c>
      <c r="S25" s="31">
        <f t="shared" si="6"/>
        <v>-1.6937669376693768E-3</v>
      </c>
    </row>
    <row r="27" spans="1:19" ht="57.65" customHeight="1" x14ac:dyDescent="0.35">
      <c r="J27" s="13" t="s">
        <v>189</v>
      </c>
      <c r="L27" s="32" t="s">
        <v>161</v>
      </c>
      <c r="N27" s="66" t="s">
        <v>168</v>
      </c>
      <c r="O27" s="66"/>
      <c r="P27" s="66"/>
      <c r="Q27" s="66"/>
      <c r="S27" s="30"/>
    </row>
    <row r="28" spans="1:19" ht="58" x14ac:dyDescent="0.35">
      <c r="J28" s="13" t="s">
        <v>24</v>
      </c>
      <c r="L28" s="32" t="s">
        <v>162</v>
      </c>
      <c r="N28" s="66" t="s">
        <v>169</v>
      </c>
      <c r="O28" s="66"/>
      <c r="P28" s="66"/>
      <c r="Q28" s="66"/>
      <c r="S28" s="30"/>
    </row>
    <row r="29" spans="1:19" ht="43.5" x14ac:dyDescent="0.35">
      <c r="J29" s="27" t="s">
        <v>190</v>
      </c>
      <c r="N29" s="66" t="s">
        <v>170</v>
      </c>
      <c r="O29" s="66"/>
      <c r="P29" s="66"/>
      <c r="Q29" s="66"/>
      <c r="S29" s="32" t="s">
        <v>163</v>
      </c>
    </row>
  </sheetData>
  <mergeCells count="3">
    <mergeCell ref="N27:Q27"/>
    <mergeCell ref="N28:Q28"/>
    <mergeCell ref="N29:Q29"/>
  </mergeCells>
  <phoneticPr fontId="11"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D24C2-743C-467A-978B-6B62F8694A06}">
  <sheetPr codeName="Sheet12"/>
  <dimension ref="A1:B9"/>
  <sheetViews>
    <sheetView zoomScale="205" zoomScaleNormal="205" workbookViewId="0"/>
  </sheetViews>
  <sheetFormatPr defaultRowHeight="14.5" x14ac:dyDescent="0.35"/>
  <cols>
    <col min="1" max="1" width="39" style="38" customWidth="1"/>
  </cols>
  <sheetData>
    <row r="1" spans="1:2" ht="21" x14ac:dyDescent="0.5">
      <c r="A1" s="37" t="s">
        <v>181</v>
      </c>
    </row>
    <row r="3" spans="1:2" ht="29" x14ac:dyDescent="0.35">
      <c r="A3" s="38" t="s">
        <v>191</v>
      </c>
    </row>
    <row r="5" spans="1:2" ht="43.5" x14ac:dyDescent="0.35">
      <c r="A5" s="38" t="s">
        <v>192</v>
      </c>
      <c r="B5" s="33"/>
    </row>
    <row r="7" spans="1:2" ht="29" x14ac:dyDescent="0.35">
      <c r="A7" s="38" t="s">
        <v>193</v>
      </c>
    </row>
    <row r="9" spans="1:2" x14ac:dyDescent="0.35">
      <c r="A9" s="38" t="s">
        <v>194</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55F03-1F1F-4624-8449-C1AF8F4D06FD}">
  <dimension ref="A1:P67"/>
  <sheetViews>
    <sheetView zoomScale="115" zoomScaleNormal="115" workbookViewId="0">
      <pane ySplit="3" topLeftCell="A4" activePane="bottomLeft" state="frozen"/>
      <selection pane="bottomLeft" activeCell="A4" sqref="A4"/>
    </sheetView>
  </sheetViews>
  <sheetFormatPr defaultRowHeight="14.5" x14ac:dyDescent="0.35"/>
  <cols>
    <col min="1" max="1" width="21.6328125" customWidth="1"/>
    <col min="2" max="2" width="1.90625" customWidth="1"/>
    <col min="3" max="3" width="21.6328125" customWidth="1"/>
    <col min="4" max="4" width="1.90625" customWidth="1"/>
    <col min="5" max="5" width="21.6328125" customWidth="1"/>
    <col min="6" max="6" width="1.90625" customWidth="1"/>
    <col min="7" max="7" width="21.6328125" customWidth="1"/>
    <col min="8" max="8" width="1.90625" customWidth="1"/>
    <col min="9" max="9" width="21.6328125" customWidth="1"/>
    <col min="10" max="10" width="1.90625" customWidth="1"/>
    <col min="11" max="11" width="21.6328125" customWidth="1"/>
    <col min="12" max="12" width="1.90625" customWidth="1"/>
    <col min="13" max="13" width="21.6328125" customWidth="1"/>
    <col min="14" max="14" width="1.90625" customWidth="1"/>
    <col min="15" max="15" width="21.6328125" customWidth="1"/>
    <col min="16" max="16" width="1.90625" customWidth="1"/>
  </cols>
  <sheetData>
    <row r="1" spans="1:16" s="19" customFormat="1" ht="21" x14ac:dyDescent="0.35">
      <c r="A1" s="19" t="s">
        <v>200</v>
      </c>
    </row>
    <row r="2" spans="1:16" s="44" customFormat="1" x14ac:dyDescent="0.35">
      <c r="A2" s="44" t="s">
        <v>434</v>
      </c>
    </row>
    <row r="3" spans="1:16" s="4" customFormat="1" ht="17" x14ac:dyDescent="0.35">
      <c r="A3" s="4" t="s">
        <v>199</v>
      </c>
      <c r="C3" s="4" t="s">
        <v>277</v>
      </c>
      <c r="E3" s="4" t="s">
        <v>327</v>
      </c>
      <c r="G3" s="4" t="s">
        <v>333</v>
      </c>
      <c r="I3" s="4" t="s">
        <v>340</v>
      </c>
      <c r="K3" s="4" t="s">
        <v>351</v>
      </c>
      <c r="M3" s="4" t="s">
        <v>376</v>
      </c>
      <c r="O3" s="4" t="s">
        <v>377</v>
      </c>
    </row>
    <row r="4" spans="1:16" x14ac:dyDescent="0.35">
      <c r="A4" s="29" t="s">
        <v>201</v>
      </c>
      <c r="C4" t="s">
        <v>213</v>
      </c>
      <c r="E4" t="s">
        <v>278</v>
      </c>
      <c r="G4" t="s">
        <v>328</v>
      </c>
      <c r="I4" s="52" t="s">
        <v>334</v>
      </c>
      <c r="K4" t="s">
        <v>341</v>
      </c>
      <c r="M4" s="40" t="s">
        <v>352</v>
      </c>
      <c r="O4" t="s">
        <v>378</v>
      </c>
    </row>
    <row r="5" spans="1:16" x14ac:dyDescent="0.35">
      <c r="A5" s="29" t="s">
        <v>202</v>
      </c>
      <c r="C5" t="s">
        <v>214</v>
      </c>
      <c r="E5" t="s">
        <v>279</v>
      </c>
      <c r="G5" t="s">
        <v>329</v>
      </c>
      <c r="I5" s="52" t="s">
        <v>335</v>
      </c>
      <c r="K5" s="52" t="s">
        <v>342</v>
      </c>
      <c r="M5" s="40" t="s">
        <v>353</v>
      </c>
      <c r="O5" t="s">
        <v>379</v>
      </c>
    </row>
    <row r="6" spans="1:16" x14ac:dyDescent="0.35">
      <c r="A6" s="29" t="s">
        <v>203</v>
      </c>
      <c r="C6" t="s">
        <v>215</v>
      </c>
      <c r="E6" t="s">
        <v>280</v>
      </c>
      <c r="G6" t="s">
        <v>330</v>
      </c>
      <c r="I6" s="29" t="s">
        <v>336</v>
      </c>
      <c r="K6" s="52" t="s">
        <v>180</v>
      </c>
      <c r="M6" t="s">
        <v>354</v>
      </c>
      <c r="O6" s="52" t="s">
        <v>380</v>
      </c>
    </row>
    <row r="7" spans="1:16" x14ac:dyDescent="0.35">
      <c r="A7" t="s">
        <v>204</v>
      </c>
      <c r="C7" t="s">
        <v>216</v>
      </c>
      <c r="E7" t="s">
        <v>281</v>
      </c>
      <c r="G7" t="s">
        <v>331</v>
      </c>
      <c r="I7" s="29" t="s">
        <v>337</v>
      </c>
      <c r="K7" t="s">
        <v>343</v>
      </c>
      <c r="M7" t="s">
        <v>355</v>
      </c>
      <c r="O7" t="s">
        <v>381</v>
      </c>
    </row>
    <row r="8" spans="1:16" x14ac:dyDescent="0.35">
      <c r="A8" t="s">
        <v>205</v>
      </c>
      <c r="C8" t="s">
        <v>217</v>
      </c>
      <c r="E8" t="s">
        <v>282</v>
      </c>
      <c r="G8" t="s">
        <v>332</v>
      </c>
      <c r="I8" s="52" t="s">
        <v>338</v>
      </c>
      <c r="K8" s="43" t="s">
        <v>344</v>
      </c>
      <c r="M8" s="43" t="s">
        <v>356</v>
      </c>
      <c r="O8" s="52" t="s">
        <v>382</v>
      </c>
    </row>
    <row r="9" spans="1:16" x14ac:dyDescent="0.35">
      <c r="A9" t="s">
        <v>206</v>
      </c>
      <c r="C9" t="s">
        <v>218</v>
      </c>
      <c r="E9" t="s">
        <v>283</v>
      </c>
      <c r="I9" s="52" t="s">
        <v>339</v>
      </c>
      <c r="K9" s="52" t="s">
        <v>345</v>
      </c>
      <c r="M9" t="s">
        <v>357</v>
      </c>
      <c r="O9" s="42" t="s">
        <v>433</v>
      </c>
      <c r="P9" s="41"/>
    </row>
    <row r="10" spans="1:16" x14ac:dyDescent="0.35">
      <c r="A10" t="s">
        <v>207</v>
      </c>
      <c r="C10" t="s">
        <v>219</v>
      </c>
      <c r="E10" t="s">
        <v>284</v>
      </c>
      <c r="K10" s="43" t="s">
        <v>346</v>
      </c>
      <c r="M10" t="s">
        <v>358</v>
      </c>
      <c r="O10" t="s">
        <v>383</v>
      </c>
    </row>
    <row r="11" spans="1:16" x14ac:dyDescent="0.35">
      <c r="A11" t="s">
        <v>208</v>
      </c>
      <c r="C11" t="s">
        <v>220</v>
      </c>
      <c r="E11" t="s">
        <v>285</v>
      </c>
      <c r="K11" s="52" t="s">
        <v>347</v>
      </c>
      <c r="M11" s="43" t="s">
        <v>359</v>
      </c>
      <c r="O11" s="52" t="s">
        <v>384</v>
      </c>
    </row>
    <row r="12" spans="1:16" x14ac:dyDescent="0.35">
      <c r="A12" t="s">
        <v>209</v>
      </c>
      <c r="C12" t="s">
        <v>221</v>
      </c>
      <c r="E12" t="s">
        <v>286</v>
      </c>
      <c r="K12" t="s">
        <v>348</v>
      </c>
      <c r="M12" t="s">
        <v>360</v>
      </c>
      <c r="O12" t="s">
        <v>385</v>
      </c>
    </row>
    <row r="13" spans="1:16" x14ac:dyDescent="0.35">
      <c r="A13" t="s">
        <v>210</v>
      </c>
      <c r="C13" t="s">
        <v>222</v>
      </c>
      <c r="E13" t="s">
        <v>287</v>
      </c>
      <c r="K13" s="52" t="s">
        <v>349</v>
      </c>
      <c r="M13" t="s">
        <v>361</v>
      </c>
      <c r="O13" t="s">
        <v>386</v>
      </c>
    </row>
    <row r="14" spans="1:16" x14ac:dyDescent="0.35">
      <c r="A14" s="29" t="s">
        <v>211</v>
      </c>
      <c r="C14" t="s">
        <v>223</v>
      </c>
      <c r="E14" t="s">
        <v>288</v>
      </c>
      <c r="K14" s="43" t="s">
        <v>350</v>
      </c>
      <c r="M14" s="39" t="s">
        <v>387</v>
      </c>
      <c r="N14" s="40"/>
    </row>
    <row r="15" spans="1:16" x14ac:dyDescent="0.35">
      <c r="A15" s="29" t="s">
        <v>212</v>
      </c>
      <c r="C15" t="s">
        <v>224</v>
      </c>
      <c r="E15" t="s">
        <v>289</v>
      </c>
      <c r="M15" t="s">
        <v>362</v>
      </c>
    </row>
    <row r="16" spans="1:16" x14ac:dyDescent="0.35">
      <c r="C16" t="s">
        <v>225</v>
      </c>
      <c r="E16" t="s">
        <v>290</v>
      </c>
      <c r="M16" s="40" t="s">
        <v>363</v>
      </c>
    </row>
    <row r="17" spans="3:13" x14ac:dyDescent="0.35">
      <c r="C17" t="s">
        <v>226</v>
      </c>
      <c r="E17" t="s">
        <v>291</v>
      </c>
      <c r="M17" s="40" t="s">
        <v>364</v>
      </c>
    </row>
    <row r="18" spans="3:13" x14ac:dyDescent="0.35">
      <c r="C18" t="s">
        <v>227</v>
      </c>
      <c r="E18" t="s">
        <v>292</v>
      </c>
      <c r="M18" s="40" t="s">
        <v>365</v>
      </c>
    </row>
    <row r="19" spans="3:13" x14ac:dyDescent="0.35">
      <c r="C19" t="s">
        <v>228</v>
      </c>
      <c r="E19" t="s">
        <v>293</v>
      </c>
      <c r="M19" t="s">
        <v>366</v>
      </c>
    </row>
    <row r="20" spans="3:13" x14ac:dyDescent="0.35">
      <c r="C20" t="s">
        <v>229</v>
      </c>
      <c r="E20" s="29" t="s">
        <v>294</v>
      </c>
      <c r="M20" s="52" t="s">
        <v>367</v>
      </c>
    </row>
    <row r="21" spans="3:13" x14ac:dyDescent="0.35">
      <c r="C21" t="s">
        <v>230</v>
      </c>
      <c r="E21" t="s">
        <v>295</v>
      </c>
      <c r="M21" s="52" t="s">
        <v>368</v>
      </c>
    </row>
    <row r="22" spans="3:13" x14ac:dyDescent="0.35">
      <c r="C22" t="s">
        <v>231</v>
      </c>
      <c r="E22" t="s">
        <v>296</v>
      </c>
      <c r="M22" s="52" t="s">
        <v>369</v>
      </c>
    </row>
    <row r="23" spans="3:13" x14ac:dyDescent="0.35">
      <c r="C23" t="s">
        <v>232</v>
      </c>
      <c r="E23" t="s">
        <v>297</v>
      </c>
      <c r="M23" s="52" t="s">
        <v>370</v>
      </c>
    </row>
    <row r="24" spans="3:13" x14ac:dyDescent="0.35">
      <c r="C24" t="s">
        <v>233</v>
      </c>
      <c r="E24" t="s">
        <v>298</v>
      </c>
      <c r="M24" s="43" t="s">
        <v>371</v>
      </c>
    </row>
    <row r="25" spans="3:13" x14ac:dyDescent="0.35">
      <c r="C25" t="s">
        <v>234</v>
      </c>
      <c r="E25" t="s">
        <v>299</v>
      </c>
      <c r="M25" s="43" t="s">
        <v>372</v>
      </c>
    </row>
    <row r="26" spans="3:13" x14ac:dyDescent="0.35">
      <c r="C26" t="s">
        <v>235</v>
      </c>
      <c r="E26" t="s">
        <v>300</v>
      </c>
      <c r="M26" s="43" t="s">
        <v>373</v>
      </c>
    </row>
    <row r="27" spans="3:13" x14ac:dyDescent="0.35">
      <c r="C27" t="s">
        <v>236</v>
      </c>
      <c r="E27" t="s">
        <v>301</v>
      </c>
      <c r="M27" t="s">
        <v>374</v>
      </c>
    </row>
    <row r="28" spans="3:13" x14ac:dyDescent="0.35">
      <c r="C28" t="s">
        <v>237</v>
      </c>
      <c r="E28" t="s">
        <v>302</v>
      </c>
      <c r="M28" t="s">
        <v>375</v>
      </c>
    </row>
    <row r="29" spans="3:13" x14ac:dyDescent="0.35">
      <c r="C29" t="s">
        <v>238</v>
      </c>
      <c r="E29" t="s">
        <v>303</v>
      </c>
    </row>
    <row r="30" spans="3:13" x14ac:dyDescent="0.35">
      <c r="C30" t="s">
        <v>239</v>
      </c>
      <c r="E30" t="s">
        <v>304</v>
      </c>
    </row>
    <row r="31" spans="3:13" x14ac:dyDescent="0.35">
      <c r="C31" t="s">
        <v>240</v>
      </c>
      <c r="E31" t="s">
        <v>305</v>
      </c>
    </row>
    <row r="32" spans="3:13" x14ac:dyDescent="0.35">
      <c r="C32" t="s">
        <v>241</v>
      </c>
      <c r="E32" t="s">
        <v>306</v>
      </c>
    </row>
    <row r="33" spans="3:5" x14ac:dyDescent="0.35">
      <c r="C33" t="s">
        <v>242</v>
      </c>
      <c r="E33" t="s">
        <v>307</v>
      </c>
    </row>
    <row r="34" spans="3:5" x14ac:dyDescent="0.35">
      <c r="C34" t="s">
        <v>243</v>
      </c>
      <c r="E34" t="s">
        <v>308</v>
      </c>
    </row>
    <row r="35" spans="3:5" x14ac:dyDescent="0.35">
      <c r="C35" t="s">
        <v>244</v>
      </c>
      <c r="E35" t="s">
        <v>309</v>
      </c>
    </row>
    <row r="36" spans="3:5" x14ac:dyDescent="0.35">
      <c r="C36" t="s">
        <v>245</v>
      </c>
      <c r="E36" t="s">
        <v>310</v>
      </c>
    </row>
    <row r="37" spans="3:5" x14ac:dyDescent="0.35">
      <c r="C37" t="s">
        <v>246</v>
      </c>
      <c r="E37" s="29" t="s">
        <v>311</v>
      </c>
    </row>
    <row r="38" spans="3:5" x14ac:dyDescent="0.35">
      <c r="C38" t="s">
        <v>247</v>
      </c>
      <c r="E38" t="s">
        <v>312</v>
      </c>
    </row>
    <row r="39" spans="3:5" x14ac:dyDescent="0.35">
      <c r="C39" t="s">
        <v>248</v>
      </c>
      <c r="E39" t="s">
        <v>313</v>
      </c>
    </row>
    <row r="40" spans="3:5" x14ac:dyDescent="0.35">
      <c r="C40" t="s">
        <v>249</v>
      </c>
      <c r="E40" t="s">
        <v>314</v>
      </c>
    </row>
    <row r="41" spans="3:5" x14ac:dyDescent="0.35">
      <c r="C41" t="s">
        <v>250</v>
      </c>
      <c r="E41" t="s">
        <v>315</v>
      </c>
    </row>
    <row r="42" spans="3:5" x14ac:dyDescent="0.35">
      <c r="C42" t="s">
        <v>251</v>
      </c>
      <c r="E42" t="s">
        <v>316</v>
      </c>
    </row>
    <row r="43" spans="3:5" x14ac:dyDescent="0.35">
      <c r="C43" t="s">
        <v>252</v>
      </c>
      <c r="E43" t="s">
        <v>317</v>
      </c>
    </row>
    <row r="44" spans="3:5" x14ac:dyDescent="0.35">
      <c r="C44" t="s">
        <v>253</v>
      </c>
      <c r="E44" t="s">
        <v>318</v>
      </c>
    </row>
    <row r="45" spans="3:5" x14ac:dyDescent="0.35">
      <c r="C45" t="s">
        <v>254</v>
      </c>
      <c r="E45" t="s">
        <v>319</v>
      </c>
    </row>
    <row r="46" spans="3:5" x14ac:dyDescent="0.35">
      <c r="C46" t="s">
        <v>255</v>
      </c>
      <c r="E46" s="29" t="s">
        <v>320</v>
      </c>
    </row>
    <row r="47" spans="3:5" x14ac:dyDescent="0.35">
      <c r="C47" t="s">
        <v>256</v>
      </c>
      <c r="E47" s="29" t="s">
        <v>321</v>
      </c>
    </row>
    <row r="48" spans="3:5" x14ac:dyDescent="0.35">
      <c r="C48" t="s">
        <v>257</v>
      </c>
      <c r="E48" t="s">
        <v>322</v>
      </c>
    </row>
    <row r="49" spans="3:5" x14ac:dyDescent="0.35">
      <c r="C49" t="s">
        <v>258</v>
      </c>
      <c r="E49" t="s">
        <v>323</v>
      </c>
    </row>
    <row r="50" spans="3:5" x14ac:dyDescent="0.35">
      <c r="C50" t="s">
        <v>259</v>
      </c>
      <c r="E50" t="s">
        <v>324</v>
      </c>
    </row>
    <row r="51" spans="3:5" x14ac:dyDescent="0.35">
      <c r="C51" t="s">
        <v>260</v>
      </c>
      <c r="E51" t="s">
        <v>325</v>
      </c>
    </row>
    <row r="52" spans="3:5" x14ac:dyDescent="0.35">
      <c r="C52" t="s">
        <v>261</v>
      </c>
      <c r="E52" t="s">
        <v>326</v>
      </c>
    </row>
    <row r="53" spans="3:5" x14ac:dyDescent="0.35">
      <c r="C53" t="s">
        <v>262</v>
      </c>
    </row>
    <row r="54" spans="3:5" x14ac:dyDescent="0.35">
      <c r="C54" t="s">
        <v>263</v>
      </c>
    </row>
    <row r="55" spans="3:5" x14ac:dyDescent="0.35">
      <c r="C55" t="s">
        <v>264</v>
      </c>
    </row>
    <row r="56" spans="3:5" x14ac:dyDescent="0.35">
      <c r="C56" t="s">
        <v>265</v>
      </c>
    </row>
    <row r="57" spans="3:5" x14ac:dyDescent="0.35">
      <c r="C57" t="s">
        <v>266</v>
      </c>
    </row>
    <row r="58" spans="3:5" x14ac:dyDescent="0.35">
      <c r="C58" t="s">
        <v>267</v>
      </c>
    </row>
    <row r="59" spans="3:5" x14ac:dyDescent="0.35">
      <c r="C59" t="s">
        <v>268</v>
      </c>
    </row>
    <row r="60" spans="3:5" x14ac:dyDescent="0.35">
      <c r="C60" t="s">
        <v>269</v>
      </c>
    </row>
    <row r="61" spans="3:5" x14ac:dyDescent="0.35">
      <c r="C61" t="s">
        <v>270</v>
      </c>
    </row>
    <row r="62" spans="3:5" x14ac:dyDescent="0.35">
      <c r="C62" t="s">
        <v>271</v>
      </c>
    </row>
    <row r="63" spans="3:5" x14ac:dyDescent="0.35">
      <c r="C63" t="s">
        <v>272</v>
      </c>
    </row>
    <row r="64" spans="3:5" x14ac:dyDescent="0.35">
      <c r="C64" t="s">
        <v>273</v>
      </c>
    </row>
    <row r="65" spans="3:3" x14ac:dyDescent="0.35">
      <c r="C65" t="s">
        <v>274</v>
      </c>
    </row>
    <row r="66" spans="3:3" x14ac:dyDescent="0.35">
      <c r="C66" t="s">
        <v>275</v>
      </c>
    </row>
    <row r="67" spans="3:3" x14ac:dyDescent="0.35">
      <c r="C67" t="s">
        <v>276</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B793F-271F-40EF-AE3C-96FEDD43D005}">
  <dimension ref="A1:M94"/>
  <sheetViews>
    <sheetView zoomScale="130" zoomScaleNormal="130" workbookViewId="0">
      <pane ySplit="1" topLeftCell="A2" activePane="bottomLeft" state="frozen"/>
      <selection pane="bottomLeft" activeCell="A2" sqref="A2"/>
    </sheetView>
  </sheetViews>
  <sheetFormatPr defaultColWidth="8.7265625" defaultRowHeight="14.5" x14ac:dyDescent="0.35"/>
  <cols>
    <col min="1" max="1" width="12.453125" style="34" customWidth="1"/>
    <col min="2" max="6" width="11" style="34" customWidth="1"/>
    <col min="7" max="8" width="8.7265625" style="34"/>
    <col min="9" max="9" width="10.26953125" style="34" customWidth="1"/>
    <col min="10" max="10" width="11.1796875" style="34" customWidth="1"/>
    <col min="11" max="16384" width="8.7265625" style="34"/>
  </cols>
  <sheetData>
    <row r="1" spans="1:13" s="19" customFormat="1" ht="21" x14ac:dyDescent="0.35">
      <c r="A1" s="19" t="s">
        <v>426</v>
      </c>
    </row>
    <row r="2" spans="1:13" s="4" customFormat="1" ht="17" x14ac:dyDescent="0.35">
      <c r="A2" s="4" t="s">
        <v>391</v>
      </c>
    </row>
    <row r="3" spans="1:13" s="12" customFormat="1" ht="16" x14ac:dyDescent="0.35">
      <c r="A3" s="6" t="s">
        <v>344</v>
      </c>
      <c r="B3" s="6"/>
      <c r="C3" s="6"/>
      <c r="D3" s="6"/>
      <c r="E3" s="6"/>
      <c r="F3" s="6"/>
      <c r="G3" s="6"/>
      <c r="H3" s="6"/>
      <c r="I3" s="6"/>
      <c r="J3" s="6"/>
      <c r="K3" s="6"/>
      <c r="L3" s="6"/>
      <c r="M3" s="6"/>
    </row>
    <row r="4" spans="1:13" x14ac:dyDescent="0.35">
      <c r="A4" s="36" t="s">
        <v>397</v>
      </c>
      <c r="B4" s="34" t="s">
        <v>398</v>
      </c>
    </row>
    <row r="5" spans="1:13" x14ac:dyDescent="0.35">
      <c r="B5" s="14" t="str">
        <f ca="1">_xlfn.FORMULATEXT(B6)</f>
        <v>=SEQUENCE(A6)</v>
      </c>
    </row>
    <row r="6" spans="1:13" x14ac:dyDescent="0.35">
      <c r="A6" s="3">
        <v>5</v>
      </c>
      <c r="B6" s="34" cm="1">
        <f t="array" ref="B6:B10">_xlfn.SEQUENCE(A6)</f>
        <v>1</v>
      </c>
    </row>
    <row r="7" spans="1:13" x14ac:dyDescent="0.35">
      <c r="B7" s="34">
        <v>2</v>
      </c>
    </row>
    <row r="8" spans="1:13" x14ac:dyDescent="0.35">
      <c r="B8" s="34">
        <v>3</v>
      </c>
    </row>
    <row r="9" spans="1:13" x14ac:dyDescent="0.35">
      <c r="B9" s="34">
        <v>4</v>
      </c>
    </row>
    <row r="10" spans="1:13" x14ac:dyDescent="0.35">
      <c r="B10" s="34">
        <v>5</v>
      </c>
    </row>
    <row r="13" spans="1:13" s="12" customFormat="1" ht="16" x14ac:dyDescent="0.35">
      <c r="A13" s="6" t="s">
        <v>346</v>
      </c>
      <c r="B13" s="6"/>
      <c r="C13" s="6"/>
      <c r="D13" s="6"/>
      <c r="E13" s="6"/>
      <c r="F13" s="6"/>
      <c r="G13" s="6"/>
      <c r="H13" s="6"/>
      <c r="I13" s="6"/>
      <c r="J13" s="6"/>
      <c r="K13" s="6"/>
      <c r="L13" s="6"/>
      <c r="M13" s="6"/>
    </row>
    <row r="14" spans="1:13" x14ac:dyDescent="0.35">
      <c r="A14" s="36" t="s">
        <v>397</v>
      </c>
      <c r="B14" s="34" t="s">
        <v>399</v>
      </c>
    </row>
    <row r="15" spans="1:13" ht="43.5" x14ac:dyDescent="0.35">
      <c r="B15" s="11"/>
      <c r="E15" s="17" t="str">
        <f ca="1">_xlfn.FORMULATEXT(E16)</f>
        <v>=SORTBY(A16:A20,C16:C20,1)</v>
      </c>
    </row>
    <row r="16" spans="1:13" s="47" customFormat="1" x14ac:dyDescent="0.35">
      <c r="A16" s="48" t="s">
        <v>392</v>
      </c>
      <c r="C16" s="48">
        <v>5</v>
      </c>
      <c r="E16" s="47" t="str" cm="1">
        <f t="array" ref="E16:E20">_xlfn.SORTBY(A16:A20,C16:C20,1)</f>
        <v>D</v>
      </c>
    </row>
    <row r="17" spans="1:13" s="47" customFormat="1" x14ac:dyDescent="0.35">
      <c r="A17" s="48" t="s">
        <v>393</v>
      </c>
      <c r="C17" s="48">
        <v>2</v>
      </c>
      <c r="E17" s="47" t="str">
        <v>B</v>
      </c>
    </row>
    <row r="18" spans="1:13" s="47" customFormat="1" x14ac:dyDescent="0.35">
      <c r="A18" s="48" t="s">
        <v>394</v>
      </c>
      <c r="C18" s="48">
        <v>3</v>
      </c>
      <c r="E18" s="47" t="str">
        <v>C</v>
      </c>
    </row>
    <row r="19" spans="1:13" s="47" customFormat="1" x14ac:dyDescent="0.35">
      <c r="A19" s="48" t="s">
        <v>395</v>
      </c>
      <c r="C19" s="48">
        <v>1</v>
      </c>
      <c r="E19" s="47" t="str">
        <v>E</v>
      </c>
    </row>
    <row r="20" spans="1:13" s="47" customFormat="1" x14ac:dyDescent="0.35">
      <c r="A20" s="48" t="s">
        <v>396</v>
      </c>
      <c r="C20" s="48">
        <v>4</v>
      </c>
      <c r="E20" s="47" t="str">
        <v>A</v>
      </c>
    </row>
    <row r="21" spans="1:13" s="47" customFormat="1" x14ac:dyDescent="0.35"/>
    <row r="23" spans="1:13" s="12" customFormat="1" ht="16" x14ac:dyDescent="0.35">
      <c r="A23" s="6" t="s">
        <v>350</v>
      </c>
      <c r="B23" s="6"/>
      <c r="C23" s="6"/>
      <c r="D23" s="6"/>
      <c r="E23" s="6"/>
      <c r="F23" s="6"/>
      <c r="G23" s="6"/>
      <c r="H23" s="6"/>
      <c r="I23" s="6"/>
      <c r="J23" s="6"/>
      <c r="K23" s="6"/>
      <c r="L23" s="6"/>
      <c r="M23" s="6"/>
    </row>
    <row r="24" spans="1:13" x14ac:dyDescent="0.35">
      <c r="A24" s="36" t="s">
        <v>397</v>
      </c>
      <c r="B24" s="34" t="s">
        <v>400</v>
      </c>
    </row>
    <row r="25" spans="1:13" x14ac:dyDescent="0.35">
      <c r="B25" s="11"/>
      <c r="D25" s="14" t="str">
        <f ca="1">_xlfn.FORMULATEXT(D26)</f>
        <v>=XMATCH(C26,A26:A30)</v>
      </c>
      <c r="E25" s="17"/>
    </row>
    <row r="26" spans="1:13" s="47" customFormat="1" x14ac:dyDescent="0.35">
      <c r="A26" s="48" t="s">
        <v>392</v>
      </c>
      <c r="C26" s="48" t="s">
        <v>393</v>
      </c>
      <c r="D26" s="47">
        <f>_xlfn.XMATCH(C26,A26:A30)</f>
        <v>2</v>
      </c>
    </row>
    <row r="27" spans="1:13" s="47" customFormat="1" x14ac:dyDescent="0.35">
      <c r="A27" s="48" t="s">
        <v>393</v>
      </c>
    </row>
    <row r="28" spans="1:13" s="47" customFormat="1" x14ac:dyDescent="0.35">
      <c r="A28" s="48" t="s">
        <v>394</v>
      </c>
    </row>
    <row r="29" spans="1:13" s="47" customFormat="1" x14ac:dyDescent="0.35">
      <c r="A29" s="48" t="s">
        <v>395</v>
      </c>
    </row>
    <row r="30" spans="1:13" s="47" customFormat="1" x14ac:dyDescent="0.35">
      <c r="A30" s="48" t="s">
        <v>396</v>
      </c>
    </row>
    <row r="33" spans="1:13" s="27" customFormat="1" ht="16" x14ac:dyDescent="0.35">
      <c r="A33" s="46" t="s">
        <v>356</v>
      </c>
      <c r="B33" s="46"/>
      <c r="C33" s="46"/>
      <c r="D33" s="46"/>
      <c r="E33" s="46"/>
      <c r="F33" s="46"/>
      <c r="G33" s="46"/>
      <c r="H33" s="46"/>
      <c r="I33" s="46"/>
      <c r="J33" s="46"/>
      <c r="K33" s="46"/>
      <c r="L33" s="46"/>
      <c r="M33" s="46"/>
    </row>
    <row r="34" spans="1:13" x14ac:dyDescent="0.35">
      <c r="A34" s="36" t="s">
        <v>397</v>
      </c>
      <c r="B34" s="34" t="s">
        <v>401</v>
      </c>
    </row>
    <row r="35" spans="1:13" x14ac:dyDescent="0.35">
      <c r="A35" s="14" t="str">
        <f ca="1">_xlfn.FORMULATEXT(A36)</f>
        <v>=SEQUENCE(10)</v>
      </c>
      <c r="D35" s="14" t="str">
        <f ca="1">_xlfn.FORMULATEXT(D36)</f>
        <v>=DROP(A36#,C36)</v>
      </c>
    </row>
    <row r="36" spans="1:13" s="47" customFormat="1" x14ac:dyDescent="0.35">
      <c r="A36" s="47" cm="1">
        <f t="array" ref="A36:A45">_xlfn.SEQUENCE(10)</f>
        <v>1</v>
      </c>
      <c r="C36" s="48">
        <v>3</v>
      </c>
      <c r="D36" s="47" cm="1">
        <f t="array" ref="D36:D42">_xlfn.DROP(_xlfn.ANCHORARRAY(A36),C36)</f>
        <v>4</v>
      </c>
    </row>
    <row r="37" spans="1:13" s="47" customFormat="1" x14ac:dyDescent="0.35">
      <c r="A37" s="47">
        <v>2</v>
      </c>
      <c r="D37" s="47">
        <v>5</v>
      </c>
    </row>
    <row r="38" spans="1:13" s="47" customFormat="1" x14ac:dyDescent="0.35">
      <c r="A38" s="47">
        <v>3</v>
      </c>
      <c r="D38" s="47">
        <v>6</v>
      </c>
    </row>
    <row r="39" spans="1:13" s="47" customFormat="1" x14ac:dyDescent="0.35">
      <c r="A39" s="47">
        <v>4</v>
      </c>
      <c r="D39" s="47">
        <v>7</v>
      </c>
    </row>
    <row r="40" spans="1:13" s="47" customFormat="1" x14ac:dyDescent="0.35">
      <c r="A40" s="47">
        <v>5</v>
      </c>
      <c r="D40" s="47">
        <v>8</v>
      </c>
    </row>
    <row r="41" spans="1:13" s="47" customFormat="1" x14ac:dyDescent="0.35">
      <c r="A41" s="47">
        <v>6</v>
      </c>
      <c r="D41" s="47">
        <v>9</v>
      </c>
    </row>
    <row r="42" spans="1:13" s="47" customFormat="1" x14ac:dyDescent="0.35">
      <c r="A42" s="47">
        <v>7</v>
      </c>
      <c r="D42" s="47">
        <v>10</v>
      </c>
    </row>
    <row r="43" spans="1:13" s="47" customFormat="1" x14ac:dyDescent="0.35">
      <c r="A43" s="47">
        <v>8</v>
      </c>
    </row>
    <row r="44" spans="1:13" s="47" customFormat="1" x14ac:dyDescent="0.35">
      <c r="A44" s="47">
        <v>9</v>
      </c>
    </row>
    <row r="45" spans="1:13" s="47" customFormat="1" x14ac:dyDescent="0.35">
      <c r="A45" s="47">
        <v>10</v>
      </c>
    </row>
    <row r="46" spans="1:13" s="47" customFormat="1" x14ac:dyDescent="0.35"/>
    <row r="48" spans="1:13" ht="16" x14ac:dyDescent="0.35">
      <c r="A48" s="46" t="s">
        <v>359</v>
      </c>
      <c r="B48" s="46"/>
      <c r="C48" s="46"/>
      <c r="D48" s="46"/>
      <c r="E48" s="46"/>
      <c r="F48" s="46"/>
      <c r="G48" s="46"/>
      <c r="H48" s="46"/>
      <c r="I48" s="46"/>
      <c r="J48" s="46"/>
      <c r="K48" s="46"/>
      <c r="L48" s="46"/>
      <c r="M48" s="46"/>
    </row>
    <row r="49" spans="1:13" x14ac:dyDescent="0.35">
      <c r="A49" s="36" t="s">
        <v>397</v>
      </c>
      <c r="B49" s="34" t="s">
        <v>402</v>
      </c>
    </row>
    <row r="50" spans="1:13" x14ac:dyDescent="0.35">
      <c r="E50" s="14" t="str">
        <f ca="1">_xlfn.FORMULATEXT(E51)</f>
        <v>=HSTACK(A51:A55,C51:C55)</v>
      </c>
      <c r="H50" s="14"/>
      <c r="I50" s="14" t="str">
        <f t="shared" ref="I50" ca="1" si="0">_xlfn.FORMULATEXT(I51)</f>
        <v>=TAKE(HSTACK(A51:A55,C51:C55),2)</v>
      </c>
    </row>
    <row r="51" spans="1:13" s="47" customFormat="1" x14ac:dyDescent="0.35">
      <c r="A51" s="48" t="s">
        <v>392</v>
      </c>
      <c r="C51" s="48">
        <v>1</v>
      </c>
      <c r="E51" s="47" t="str" cm="1">
        <f t="array" ref="E51:F55">_xlfn.HSTACK(A51:A55,C51:C55)</f>
        <v>A</v>
      </c>
      <c r="F51" s="47">
        <v>1</v>
      </c>
      <c r="I51" s="47" t="str" cm="1">
        <f t="array" ref="I51:J52">_xlfn.TAKE(_xlfn.HSTACK(A51:A55,C51:C55),2)</f>
        <v>A</v>
      </c>
      <c r="J51" s="47">
        <v>1</v>
      </c>
    </row>
    <row r="52" spans="1:13" s="47" customFormat="1" x14ac:dyDescent="0.35">
      <c r="A52" s="48" t="s">
        <v>393</v>
      </c>
      <c r="C52" s="48">
        <v>2</v>
      </c>
      <c r="E52" s="47" t="str">
        <v>B</v>
      </c>
      <c r="F52" s="47">
        <v>2</v>
      </c>
      <c r="I52" s="47" t="str">
        <v>B</v>
      </c>
      <c r="J52" s="47">
        <v>2</v>
      </c>
    </row>
    <row r="53" spans="1:13" s="47" customFormat="1" x14ac:dyDescent="0.35">
      <c r="A53" s="48" t="s">
        <v>394</v>
      </c>
      <c r="C53" s="48">
        <v>3</v>
      </c>
      <c r="E53" s="47" t="str">
        <v>C</v>
      </c>
      <c r="F53" s="47">
        <v>3</v>
      </c>
    </row>
    <row r="54" spans="1:13" s="47" customFormat="1" x14ac:dyDescent="0.35">
      <c r="A54" s="48" t="s">
        <v>395</v>
      </c>
      <c r="C54" s="48">
        <v>4</v>
      </c>
      <c r="E54" s="47" t="str">
        <v>D</v>
      </c>
      <c r="F54" s="47">
        <v>4</v>
      </c>
    </row>
    <row r="55" spans="1:13" s="47" customFormat="1" x14ac:dyDescent="0.35">
      <c r="A55" s="48" t="s">
        <v>396</v>
      </c>
      <c r="C55" s="48">
        <v>5</v>
      </c>
      <c r="E55" s="47" t="str">
        <v>E</v>
      </c>
      <c r="F55" s="47">
        <v>5</v>
      </c>
    </row>
    <row r="58" spans="1:13" ht="16" x14ac:dyDescent="0.35">
      <c r="A58" s="46" t="s">
        <v>373</v>
      </c>
      <c r="B58" s="46"/>
      <c r="C58" s="46"/>
      <c r="D58" s="46"/>
      <c r="E58" s="46"/>
      <c r="F58" s="46"/>
      <c r="G58" s="46"/>
      <c r="H58" s="46"/>
      <c r="I58" s="46"/>
      <c r="J58" s="46"/>
      <c r="K58" s="46"/>
      <c r="L58" s="46"/>
      <c r="M58" s="46"/>
    </row>
    <row r="59" spans="1:13" x14ac:dyDescent="0.35">
      <c r="A59" s="36" t="s">
        <v>397</v>
      </c>
      <c r="B59" s="34" t="s">
        <v>403</v>
      </c>
      <c r="E59" s="14"/>
      <c r="H59" s="14"/>
      <c r="I59" s="14" t="str">
        <f t="shared" ref="I59" ca="1" si="1">_xlfn.FORMULATEXT(I60)</f>
        <v>=VSTACK(A60:A64,C60:C64)</v>
      </c>
    </row>
    <row r="60" spans="1:13" s="47" customFormat="1" x14ac:dyDescent="0.35">
      <c r="A60" s="48" t="s">
        <v>392</v>
      </c>
      <c r="C60" s="48">
        <v>1</v>
      </c>
      <c r="I60" s="47" t="str" cm="1">
        <f t="array" ref="I60:I69">_xlfn.VSTACK(A60:A64,C60:C64)</f>
        <v>A</v>
      </c>
    </row>
    <row r="61" spans="1:13" s="47" customFormat="1" x14ac:dyDescent="0.35">
      <c r="A61" s="48" t="s">
        <v>393</v>
      </c>
      <c r="C61" s="48">
        <v>2</v>
      </c>
      <c r="I61" s="47" t="str">
        <v>B</v>
      </c>
    </row>
    <row r="62" spans="1:13" s="47" customFormat="1" x14ac:dyDescent="0.35">
      <c r="A62" s="48" t="s">
        <v>394</v>
      </c>
      <c r="C62" s="48">
        <v>3</v>
      </c>
      <c r="I62" s="47" t="str">
        <v>C</v>
      </c>
    </row>
    <row r="63" spans="1:13" s="47" customFormat="1" x14ac:dyDescent="0.35">
      <c r="A63" s="48" t="s">
        <v>395</v>
      </c>
      <c r="C63" s="48">
        <v>4</v>
      </c>
      <c r="I63" s="47" t="str">
        <v>D</v>
      </c>
    </row>
    <row r="64" spans="1:13" s="47" customFormat="1" x14ac:dyDescent="0.35">
      <c r="A64" s="48" t="s">
        <v>396</v>
      </c>
      <c r="C64" s="48">
        <v>5</v>
      </c>
      <c r="I64" s="47" t="str">
        <v>E</v>
      </c>
    </row>
    <row r="65" spans="1:13" x14ac:dyDescent="0.35">
      <c r="I65" s="47">
        <v>1</v>
      </c>
    </row>
    <row r="66" spans="1:13" x14ac:dyDescent="0.35">
      <c r="I66" s="47">
        <v>2</v>
      </c>
    </row>
    <row r="67" spans="1:13" x14ac:dyDescent="0.35">
      <c r="I67" s="47">
        <v>3</v>
      </c>
    </row>
    <row r="68" spans="1:13" x14ac:dyDescent="0.35">
      <c r="I68" s="47">
        <v>4</v>
      </c>
    </row>
    <row r="69" spans="1:13" x14ac:dyDescent="0.35">
      <c r="I69" s="47">
        <v>5</v>
      </c>
    </row>
    <row r="71" spans="1:13" ht="16" x14ac:dyDescent="0.35">
      <c r="A71" s="46" t="s">
        <v>371</v>
      </c>
      <c r="B71" s="46"/>
      <c r="C71" s="46"/>
      <c r="D71" s="46"/>
      <c r="E71" s="46"/>
      <c r="F71" s="46"/>
      <c r="G71" s="46"/>
      <c r="H71" s="46"/>
      <c r="I71" s="46"/>
      <c r="J71" s="46"/>
      <c r="K71" s="46"/>
      <c r="L71" s="46"/>
      <c r="M71" s="46"/>
    </row>
    <row r="72" spans="1:13" x14ac:dyDescent="0.35">
      <c r="A72" s="36" t="s">
        <v>397</v>
      </c>
      <c r="B72" s="34" t="s">
        <v>404</v>
      </c>
    </row>
    <row r="73" spans="1:13" x14ac:dyDescent="0.35">
      <c r="D73" s="14" t="str">
        <f t="shared" ref="D73:F73" ca="1" si="2">_xlfn.FORMULATEXT(D74)</f>
        <v>=TOCOL(A74:B78)</v>
      </c>
      <c r="E73" s="14"/>
      <c r="F73" s="14" t="str">
        <f t="shared" ca="1" si="2"/>
        <v>=TOCOL(A74:B78,,TRUE)</v>
      </c>
      <c r="H73" s="14"/>
      <c r="I73" s="14"/>
    </row>
    <row r="74" spans="1:13" x14ac:dyDescent="0.35">
      <c r="A74" s="48" t="s">
        <v>392</v>
      </c>
      <c r="B74" s="48">
        <v>1</v>
      </c>
      <c r="D74" s="47" t="str" cm="1">
        <f t="array" ref="D74:D83">_xlfn.TOCOL(A74:B78)</f>
        <v>A</v>
      </c>
      <c r="F74" s="47" t="str" cm="1">
        <f t="array" ref="F74:F83">_xlfn.TOCOL(A74:B78,,TRUE)</f>
        <v>A</v>
      </c>
    </row>
    <row r="75" spans="1:13" x14ac:dyDescent="0.35">
      <c r="A75" s="48" t="s">
        <v>393</v>
      </c>
      <c r="B75" s="48">
        <v>2</v>
      </c>
      <c r="D75" s="47">
        <v>1</v>
      </c>
      <c r="F75" s="47" t="str">
        <v>B</v>
      </c>
    </row>
    <row r="76" spans="1:13" x14ac:dyDescent="0.35">
      <c r="A76" s="48" t="s">
        <v>394</v>
      </c>
      <c r="B76" s="48">
        <v>3</v>
      </c>
      <c r="D76" s="47" t="str">
        <v>B</v>
      </c>
      <c r="F76" s="47" t="str">
        <v>C</v>
      </c>
    </row>
    <row r="77" spans="1:13" x14ac:dyDescent="0.35">
      <c r="A77" s="48" t="s">
        <v>395</v>
      </c>
      <c r="B77" s="48">
        <v>4</v>
      </c>
      <c r="D77" s="47">
        <v>2</v>
      </c>
      <c r="F77" s="47" t="str">
        <v>D</v>
      </c>
    </row>
    <row r="78" spans="1:13" x14ac:dyDescent="0.35">
      <c r="A78" s="48" t="s">
        <v>396</v>
      </c>
      <c r="B78" s="48">
        <v>5</v>
      </c>
      <c r="D78" s="47" t="str">
        <v>C</v>
      </c>
      <c r="F78" s="47" t="str">
        <v>E</v>
      </c>
    </row>
    <row r="79" spans="1:13" x14ac:dyDescent="0.35">
      <c r="D79" s="47">
        <v>3</v>
      </c>
      <c r="F79" s="47">
        <v>1</v>
      </c>
    </row>
    <row r="80" spans="1:13" x14ac:dyDescent="0.35">
      <c r="D80" s="47" t="str">
        <v>D</v>
      </c>
      <c r="F80" s="47">
        <v>2</v>
      </c>
    </row>
    <row r="81" spans="1:13" x14ac:dyDescent="0.35">
      <c r="D81" s="47">
        <v>4</v>
      </c>
      <c r="F81" s="47">
        <v>3</v>
      </c>
    </row>
    <row r="82" spans="1:13" x14ac:dyDescent="0.35">
      <c r="D82" s="47" t="str">
        <v>E</v>
      </c>
      <c r="F82" s="47">
        <v>4</v>
      </c>
    </row>
    <row r="83" spans="1:13" x14ac:dyDescent="0.35">
      <c r="D83" s="47">
        <v>5</v>
      </c>
      <c r="F83" s="47">
        <v>5</v>
      </c>
    </row>
    <row r="86" spans="1:13" ht="16" x14ac:dyDescent="0.35">
      <c r="A86" s="46" t="s">
        <v>372</v>
      </c>
      <c r="B86" s="46"/>
      <c r="C86" s="46"/>
      <c r="D86" s="46"/>
      <c r="E86" s="46"/>
      <c r="F86" s="46"/>
      <c r="G86" s="46"/>
      <c r="H86" s="46"/>
      <c r="I86" s="46"/>
      <c r="J86" s="46"/>
      <c r="K86" s="46"/>
      <c r="L86" s="46"/>
      <c r="M86" s="46"/>
    </row>
    <row r="87" spans="1:13" x14ac:dyDescent="0.35">
      <c r="A87" s="36" t="s">
        <v>397</v>
      </c>
      <c r="B87" s="34" t="s">
        <v>405</v>
      </c>
    </row>
    <row r="88" spans="1:13" x14ac:dyDescent="0.35">
      <c r="D88" s="14" t="str">
        <f t="shared" ref="D88:D90" ca="1" si="3">_xlfn.FORMULATEXT(D89)</f>
        <v>=TOROW(A89:B93)</v>
      </c>
      <c r="E88" s="14"/>
      <c r="H88" s="14"/>
      <c r="I88" s="14"/>
    </row>
    <row r="89" spans="1:13" x14ac:dyDescent="0.35">
      <c r="A89" s="48" t="s">
        <v>392</v>
      </c>
      <c r="B89" s="48">
        <v>1</v>
      </c>
      <c r="D89" s="47" t="str" cm="1">
        <f t="array" ref="D89:M89">_xlfn.TOROW(A89:B93)</f>
        <v>A</v>
      </c>
      <c r="E89" s="47">
        <v>1</v>
      </c>
      <c r="F89" s="47" t="str">
        <v>B</v>
      </c>
      <c r="G89" s="47">
        <v>2</v>
      </c>
      <c r="H89" s="47" t="str">
        <v>C</v>
      </c>
      <c r="I89" s="47">
        <v>3</v>
      </c>
      <c r="J89" s="47" t="str">
        <v>D</v>
      </c>
      <c r="K89" s="47">
        <v>4</v>
      </c>
      <c r="L89" s="47" t="str">
        <v>E</v>
      </c>
      <c r="M89" s="47">
        <v>5</v>
      </c>
    </row>
    <row r="90" spans="1:13" x14ac:dyDescent="0.35">
      <c r="A90" s="48" t="s">
        <v>393</v>
      </c>
      <c r="B90" s="48">
        <v>2</v>
      </c>
      <c r="D90" s="14" t="str">
        <f t="shared" ca="1" si="3"/>
        <v>=TOROW(A89:B93,,TRUE)</v>
      </c>
    </row>
    <row r="91" spans="1:13" x14ac:dyDescent="0.35">
      <c r="A91" s="48" t="s">
        <v>394</v>
      </c>
      <c r="B91" s="48">
        <v>3</v>
      </c>
      <c r="D91" s="47" t="str" cm="1">
        <f t="array" ref="D91:M91">_xlfn.TOROW(A89:B93,,TRUE)</f>
        <v>A</v>
      </c>
      <c r="E91" s="47" t="str">
        <v>B</v>
      </c>
      <c r="F91" s="47" t="str">
        <v>C</v>
      </c>
      <c r="G91" s="47" t="str">
        <v>D</v>
      </c>
      <c r="H91" s="47" t="str">
        <v>E</v>
      </c>
      <c r="I91" s="47">
        <v>1</v>
      </c>
      <c r="J91" s="47">
        <v>2</v>
      </c>
      <c r="K91" s="47">
        <v>3</v>
      </c>
      <c r="L91" s="47">
        <v>4</v>
      </c>
      <c r="M91" s="47">
        <v>5</v>
      </c>
    </row>
    <row r="92" spans="1:13" x14ac:dyDescent="0.35">
      <c r="A92" s="48" t="s">
        <v>395</v>
      </c>
      <c r="B92" s="48">
        <v>4</v>
      </c>
      <c r="D92" s="47"/>
    </row>
    <row r="93" spans="1:13" x14ac:dyDescent="0.35">
      <c r="A93" s="48" t="s">
        <v>396</v>
      </c>
      <c r="B93" s="48">
        <v>5</v>
      </c>
      <c r="D93" s="47"/>
    </row>
    <row r="94" spans="1:13" x14ac:dyDescent="0.35">
      <c r="D94" s="47"/>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AA590-AC77-4C09-B0E7-E6E7A4FC084D}">
  <sheetPr codeName="Sheet1"/>
  <dimension ref="A1:I15"/>
  <sheetViews>
    <sheetView zoomScale="130" zoomScaleNormal="130" workbookViewId="0"/>
  </sheetViews>
  <sheetFormatPr defaultColWidth="8.90625" defaultRowHeight="14.5" x14ac:dyDescent="0.35"/>
  <cols>
    <col min="1" max="1" width="17.453125" style="1" customWidth="1"/>
    <col min="2" max="2" width="1.6328125" style="1" customWidth="1"/>
    <col min="3" max="3" width="24.453125" style="1" bestFit="1" customWidth="1"/>
    <col min="4" max="4" width="31.6328125" style="1" bestFit="1" customWidth="1"/>
    <col min="5" max="6" width="17" style="1" customWidth="1"/>
    <col min="7" max="7" width="1.6328125" style="1" customWidth="1"/>
    <col min="8" max="8" width="18.453125" style="1" bestFit="1" customWidth="1"/>
    <col min="9" max="9" width="17.1796875" style="1" bestFit="1" customWidth="1"/>
    <col min="10" max="11" width="16.453125" style="1" bestFit="1" customWidth="1"/>
    <col min="12" max="12" width="1.6328125" style="1" customWidth="1"/>
    <col min="13" max="14" width="14.90625" style="1" customWidth="1"/>
    <col min="15" max="16384" width="8.90625" style="1"/>
  </cols>
  <sheetData>
    <row r="1" spans="1:9" s="2" customFormat="1" ht="21" x14ac:dyDescent="0.5">
      <c r="A1" s="2" t="s">
        <v>0</v>
      </c>
    </row>
    <row r="2" spans="1:9" s="4" customFormat="1" ht="17" x14ac:dyDescent="0.35">
      <c r="A2" s="4" t="s">
        <v>30</v>
      </c>
    </row>
    <row r="3" spans="1:9" ht="16" x14ac:dyDescent="0.35">
      <c r="A3" s="6" t="s">
        <v>13</v>
      </c>
      <c r="C3" s="6" t="s">
        <v>9</v>
      </c>
      <c r="D3" s="6"/>
      <c r="H3" s="6" t="s">
        <v>11</v>
      </c>
      <c r="I3" s="6"/>
    </row>
    <row r="4" spans="1:9" s="7" customFormat="1" x14ac:dyDescent="0.35">
      <c r="A4" s="7" t="s">
        <v>1</v>
      </c>
      <c r="C4" s="7" t="s">
        <v>10</v>
      </c>
      <c r="D4" s="7" t="s">
        <v>12</v>
      </c>
      <c r="H4" s="7" t="s">
        <v>10</v>
      </c>
      <c r="I4" s="7" t="s">
        <v>12</v>
      </c>
    </row>
    <row r="5" spans="1:9" s="8" customFormat="1" x14ac:dyDescent="0.35">
      <c r="C5" s="8" t="str">
        <f ca="1">_xlfn.FORMULATEXT(C6)</f>
        <v>=LEFT(A6,SEARCH(", ",A6)-1)</v>
      </c>
      <c r="D5" s="8" t="str">
        <f ca="1">_xlfn.FORMULATEXT(D6)</f>
        <v>=MID(A6,SEARCH(", ",A6)+2,LEN(A6))</v>
      </c>
      <c r="H5" s="8" t="str">
        <f ca="1">_xlfn.FORMULATEXT(H6)</f>
        <v>=TEXTBEFORE(A6,",")</v>
      </c>
      <c r="I5" s="8" t="str">
        <f ca="1">_xlfn.FORMULATEXT(I6)</f>
        <v>=TEXTAFTER(A6,", ")</v>
      </c>
    </row>
    <row r="6" spans="1:9" x14ac:dyDescent="0.35">
      <c r="A6" s="3" t="s">
        <v>2</v>
      </c>
      <c r="C6" s="5" t="str">
        <f>LEFT(A6,SEARCH(", ",A6)-1)</f>
        <v>Smith</v>
      </c>
      <c r="D6" s="5" t="str">
        <f>MID(A6,SEARCH(", ",A6)+2,LEN(A6))</f>
        <v>John</v>
      </c>
      <c r="H6" s="9" t="str">
        <f>_xlfn.TEXTBEFORE(A6,",")</f>
        <v>Smith</v>
      </c>
      <c r="I6" s="5" t="str">
        <f>_xlfn.TEXTAFTER(A6,", ")</f>
        <v>John</v>
      </c>
    </row>
    <row r="7" spans="1:9" x14ac:dyDescent="0.35">
      <c r="A7" s="3" t="s">
        <v>3</v>
      </c>
      <c r="C7" s="5" t="str">
        <f t="shared" ref="C7:C12" si="0">LEFT(A7,SEARCH(", ",A7)-1)</f>
        <v>Patel</v>
      </c>
      <c r="D7" s="5" t="str">
        <f t="shared" ref="D7:D12" si="1">MID(A7,SEARCH(", ",A7)+2,LEN(A7))</f>
        <v>Anika</v>
      </c>
      <c r="H7" s="9" t="str">
        <f t="shared" ref="H7:H12" si="2">_xlfn.TEXTBEFORE(A7,",")</f>
        <v>Patel</v>
      </c>
      <c r="I7" s="5" t="str">
        <f t="shared" ref="I7:I12" si="3">_xlfn.TEXTAFTER(A7,", ")</f>
        <v>Anika</v>
      </c>
    </row>
    <row r="8" spans="1:9" x14ac:dyDescent="0.35">
      <c r="A8" s="3" t="s">
        <v>4</v>
      </c>
      <c r="C8" s="5" t="str">
        <f t="shared" si="0"/>
        <v>O'Brien</v>
      </c>
      <c r="D8" s="5" t="str">
        <f t="shared" si="1"/>
        <v>Liam</v>
      </c>
      <c r="H8" s="9" t="str">
        <f t="shared" si="2"/>
        <v>O'Brien</v>
      </c>
      <c r="I8" s="5" t="str">
        <f t="shared" si="3"/>
        <v>Liam</v>
      </c>
    </row>
    <row r="9" spans="1:9" x14ac:dyDescent="0.35">
      <c r="A9" s="3" t="s">
        <v>5</v>
      </c>
      <c r="C9" s="5" t="str">
        <f t="shared" si="0"/>
        <v>Chen</v>
      </c>
      <c r="D9" s="5" t="str">
        <f t="shared" si="1"/>
        <v>Wei</v>
      </c>
      <c r="H9" s="9" t="str">
        <f t="shared" si="2"/>
        <v>Chen</v>
      </c>
      <c r="I9" s="5" t="str">
        <f t="shared" si="3"/>
        <v>Wei</v>
      </c>
    </row>
    <row r="10" spans="1:9" x14ac:dyDescent="0.35">
      <c r="A10" s="3" t="s">
        <v>6</v>
      </c>
      <c r="C10" s="5" t="str">
        <f t="shared" si="0"/>
        <v>Thompson</v>
      </c>
      <c r="D10" s="5" t="str">
        <f t="shared" si="1"/>
        <v>Sarah</v>
      </c>
      <c r="H10" s="9" t="str">
        <f t="shared" si="2"/>
        <v>Thompson</v>
      </c>
      <c r="I10" s="5" t="str">
        <f t="shared" si="3"/>
        <v>Sarah</v>
      </c>
    </row>
    <row r="11" spans="1:9" x14ac:dyDescent="0.35">
      <c r="A11" s="3" t="s">
        <v>7</v>
      </c>
      <c r="C11" s="5" t="str">
        <f t="shared" si="0"/>
        <v>Garcia</v>
      </c>
      <c r="D11" s="5" t="str">
        <f t="shared" si="1"/>
        <v>Miguel</v>
      </c>
      <c r="H11" s="9" t="str">
        <f t="shared" si="2"/>
        <v>Garcia</v>
      </c>
      <c r="I11" s="5" t="str">
        <f t="shared" si="3"/>
        <v>Miguel</v>
      </c>
    </row>
    <row r="12" spans="1:9" x14ac:dyDescent="0.35">
      <c r="A12" s="3" t="s">
        <v>8</v>
      </c>
      <c r="C12" s="5" t="str">
        <f t="shared" si="0"/>
        <v>Khan</v>
      </c>
      <c r="D12" s="5" t="str">
        <f t="shared" si="1"/>
        <v>Ayesha</v>
      </c>
      <c r="H12" s="9" t="str">
        <f t="shared" si="2"/>
        <v>Khan</v>
      </c>
      <c r="I12" s="5" t="str">
        <f t="shared" si="3"/>
        <v>Ayesha</v>
      </c>
    </row>
    <row r="13" spans="1:9" x14ac:dyDescent="0.35">
      <c r="C13" s="7" t="s">
        <v>189</v>
      </c>
      <c r="D13" s="1" t="s">
        <v>25</v>
      </c>
    </row>
    <row r="14" spans="1:9" x14ac:dyDescent="0.35">
      <c r="C14" s="7" t="s">
        <v>24</v>
      </c>
      <c r="D14" s="1" t="s">
        <v>26</v>
      </c>
    </row>
    <row r="15" spans="1:9" x14ac:dyDescent="0.35">
      <c r="C15" s="7" t="s">
        <v>190</v>
      </c>
      <c r="D15" s="1" t="s">
        <v>27</v>
      </c>
    </row>
  </sheetData>
  <phoneticPr fontId="1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64E31-EEA1-443E-9B98-AE5B4CB9FF67}">
  <dimension ref="A1:L13"/>
  <sheetViews>
    <sheetView zoomScale="130" zoomScaleNormal="130" workbookViewId="0"/>
  </sheetViews>
  <sheetFormatPr defaultColWidth="8.90625" defaultRowHeight="14.5" x14ac:dyDescent="0.35"/>
  <cols>
    <col min="1" max="1" width="17.453125" style="1" customWidth="1"/>
    <col min="2" max="2" width="26.6328125" style="1" bestFit="1" customWidth="1"/>
    <col min="3" max="3" width="1.6328125" style="1" customWidth="1"/>
    <col min="4" max="4" width="24.453125" style="1" bestFit="1" customWidth="1"/>
    <col min="5" max="5" width="31.6328125" style="1" bestFit="1" customWidth="1"/>
    <col min="6" max="7" width="17" style="1" customWidth="1"/>
    <col min="8" max="8" width="1.6328125" style="1" customWidth="1"/>
    <col min="9" max="9" width="18.453125" style="1" bestFit="1" customWidth="1"/>
    <col min="10" max="10" width="17.1796875" style="1" bestFit="1" customWidth="1"/>
    <col min="11" max="12" width="16.453125" style="1" bestFit="1" customWidth="1"/>
    <col min="13" max="13" width="1.6328125" style="1" customWidth="1"/>
    <col min="14" max="15" width="14.90625" style="1" customWidth="1"/>
    <col min="16" max="16384" width="8.90625" style="1"/>
  </cols>
  <sheetData>
    <row r="1" spans="1:12" s="2" customFormat="1" ht="21" x14ac:dyDescent="0.5">
      <c r="A1" s="2" t="s">
        <v>0</v>
      </c>
    </row>
    <row r="2" spans="1:12" s="4" customFormat="1" ht="17" x14ac:dyDescent="0.35">
      <c r="A2" s="4" t="s">
        <v>31</v>
      </c>
    </row>
    <row r="3" spans="1:12" ht="16" x14ac:dyDescent="0.35">
      <c r="A3" s="6" t="s">
        <v>13</v>
      </c>
      <c r="B3" s="6"/>
      <c r="D3" s="6" t="s">
        <v>9</v>
      </c>
      <c r="E3" s="6"/>
      <c r="F3" s="6"/>
      <c r="G3" s="6"/>
      <c r="I3" s="6" t="s">
        <v>11</v>
      </c>
      <c r="J3" s="6"/>
      <c r="K3" s="6"/>
      <c r="L3" s="6"/>
    </row>
    <row r="4" spans="1:12" x14ac:dyDescent="0.35">
      <c r="A4" s="7" t="s">
        <v>14</v>
      </c>
      <c r="B4" s="7" t="s">
        <v>15</v>
      </c>
      <c r="D4" s="7" t="s">
        <v>20</v>
      </c>
      <c r="E4" s="7" t="s">
        <v>21</v>
      </c>
      <c r="F4" s="7" t="s">
        <v>22</v>
      </c>
      <c r="G4" s="7" t="s">
        <v>23</v>
      </c>
      <c r="I4" s="7" t="s">
        <v>20</v>
      </c>
      <c r="J4" s="7" t="s">
        <v>21</v>
      </c>
      <c r="K4" s="7" t="s">
        <v>22</v>
      </c>
      <c r="L4" s="7" t="s">
        <v>23</v>
      </c>
    </row>
    <row r="5" spans="1:12" x14ac:dyDescent="0.35">
      <c r="A5" s="7"/>
      <c r="B5" s="7"/>
      <c r="D5" s="8" t="str">
        <f ca="1">_xlfn.FORMULATEXT(D6)</f>
        <v>=TRIM(MID(SUBSTITUTE($B6,",",REPT(" ",100)),(COLUMNS($D6:D6)-1)*100+1,100))</v>
      </c>
      <c r="E5" s="8"/>
      <c r="F5" s="8"/>
      <c r="G5" s="8"/>
      <c r="H5" s="8"/>
      <c r="I5" s="8" t="str">
        <f ca="1">_xlfn.FORMULATEXT(I6)</f>
        <v>=TEXTSPLIT(B6,", ")</v>
      </c>
      <c r="J5" s="8"/>
      <c r="K5" s="8"/>
      <c r="L5" s="8"/>
    </row>
    <row r="6" spans="1:12" x14ac:dyDescent="0.35">
      <c r="A6" s="3">
        <v>1001</v>
      </c>
      <c r="B6" s="3" t="s">
        <v>16</v>
      </c>
      <c r="D6" s="5" t="str">
        <f>TRIM(MID(SUBSTITUTE($B6,",",REPT(" ",100)),(COLUMNS($D6:D6)-1)*100+1,100))</f>
        <v>Laptop</v>
      </c>
      <c r="E6" s="5" t="str">
        <f>TRIM(MID(SUBSTITUTE($B6,",",REPT(" ",100)),(COLUMNS($D6:E6)-1)*100+1,100))</f>
        <v>Mouse</v>
      </c>
      <c r="F6" s="5" t="str">
        <f>TRIM(MID(SUBSTITUTE($B6,",",REPT(" ",100)),(COLUMNS($D6:F6)-1)*100+1,100))</f>
        <v>Keyboard</v>
      </c>
      <c r="G6" s="5" t="str">
        <f>TRIM(MID(SUBSTITUTE($B6,",",REPT(" ",100)),(COLUMNS($D6:G6)-1)*100+1,100))</f>
        <v/>
      </c>
      <c r="I6" s="5" t="str" cm="1">
        <f t="array" ref="I6:K6">_xlfn.TEXTSPLIT(B6,", ")</f>
        <v>Laptop</v>
      </c>
      <c r="J6" s="5" t="str">
        <v>Mouse</v>
      </c>
      <c r="K6" s="5" t="str">
        <v>Keyboard</v>
      </c>
      <c r="L6" s="5"/>
    </row>
    <row r="7" spans="1:12" x14ac:dyDescent="0.35">
      <c r="A7" s="3">
        <v>1002</v>
      </c>
      <c r="B7" s="3" t="s">
        <v>17</v>
      </c>
      <c r="D7" s="5" t="str">
        <f>TRIM(MID(SUBSTITUTE($B7,",",REPT(" ",100)),(COLUMNS($D7:D7)-1)*100+1,100))</f>
        <v>Monitor</v>
      </c>
      <c r="E7" s="5" t="str">
        <f>TRIM(MID(SUBSTITUTE($B7,",",REPT(" ",100)),(COLUMNS($D7:E7)-1)*100+1,100))</f>
        <v>Docking Station</v>
      </c>
      <c r="F7" s="5" t="str">
        <f>TRIM(MID(SUBSTITUTE($B7,",",REPT(" ",100)),(COLUMNS($D7:F7)-1)*100+1,100))</f>
        <v/>
      </c>
      <c r="G7" s="5" t="str">
        <f>TRIM(MID(SUBSTITUTE($B7,",",REPT(" ",100)),(COLUMNS($D7:G7)-1)*100+1,100))</f>
        <v/>
      </c>
      <c r="I7" s="5" t="str" cm="1">
        <f t="array" ref="I7:J7">_xlfn.TEXTSPLIT(B7,", ")</f>
        <v>Monitor</v>
      </c>
      <c r="J7" s="5" t="str">
        <v>Docking Station</v>
      </c>
      <c r="K7" s="5"/>
      <c r="L7" s="5"/>
    </row>
    <row r="8" spans="1:12" x14ac:dyDescent="0.35">
      <c r="A8" s="3">
        <v>1003</v>
      </c>
      <c r="B8" s="3" t="s">
        <v>195</v>
      </c>
      <c r="D8" s="5" t="str">
        <f>TRIM(MID(SUBSTITUTE($B8,",",REPT(" ",100)),(COLUMNS($D8:D8)-1)*100+1,100))</f>
        <v>Phone</v>
      </c>
      <c r="E8" s="5" t="str">
        <f>TRIM(MID(SUBSTITUTE($B8,",",REPT(" ",100)),(COLUMNS($D8:E8)-1)*100+1,100))</f>
        <v>Wallet</v>
      </c>
      <c r="F8" s="5" t="str">
        <f>TRIM(MID(SUBSTITUTE($B8,",",REPT(" ",100)),(COLUMNS($D8:F8)-1)*100+1,100))</f>
        <v>Charger</v>
      </c>
      <c r="G8" s="5" t="str">
        <f>TRIM(MID(SUBSTITUTE($B8,",",REPT(" ",100)),(COLUMNS($D8:G8)-1)*100+1,100))</f>
        <v>Earbuds</v>
      </c>
      <c r="I8" s="5" t="str" cm="1">
        <f t="array" ref="I8:L8">_xlfn.TEXTSPLIT(B8,", ")</f>
        <v>Phone</v>
      </c>
      <c r="J8" s="5" t="str">
        <v>Wallet</v>
      </c>
      <c r="K8" s="5" t="str">
        <v>Charger</v>
      </c>
      <c r="L8" s="5" t="str">
        <v>Earbuds</v>
      </c>
    </row>
    <row r="9" spans="1:12" x14ac:dyDescent="0.35">
      <c r="A9" s="3">
        <v>1004</v>
      </c>
      <c r="B9" s="3" t="s">
        <v>18</v>
      </c>
      <c r="D9" s="5" t="str">
        <f>TRIM(MID(SUBSTITUTE($B9,",",REPT(" ",100)),(COLUMNS($D9:D9)-1)*100+1,100))</f>
        <v>Webcam</v>
      </c>
      <c r="E9" s="5" t="str">
        <f>TRIM(MID(SUBSTITUTE($B9,",",REPT(" ",100)),(COLUMNS($D9:E9)-1)*100+1,100))</f>
        <v/>
      </c>
      <c r="F9" s="5" t="str">
        <f>TRIM(MID(SUBSTITUTE($B9,",",REPT(" ",100)),(COLUMNS($D9:F9)-1)*100+1,100))</f>
        <v/>
      </c>
      <c r="G9" s="5" t="str">
        <f>TRIM(MID(SUBSTITUTE($B9,",",REPT(" ",100)),(COLUMNS($D9:G9)-1)*100+1,100))</f>
        <v/>
      </c>
      <c r="I9" s="5" t="str" cm="1">
        <f t="array" ref="I9">_xlfn.TEXTSPLIT(B9,", ")</f>
        <v>Webcam</v>
      </c>
      <c r="J9" s="5"/>
      <c r="K9" s="5"/>
      <c r="L9" s="5"/>
    </row>
    <row r="10" spans="1:12" x14ac:dyDescent="0.35">
      <c r="A10" s="3">
        <v>1005</v>
      </c>
      <c r="B10" s="3" t="s">
        <v>19</v>
      </c>
      <c r="D10" s="5" t="str">
        <f>TRIM(MID(SUBSTITUTE($B10,",",REPT(" ",100)),(COLUMNS($D10:D10)-1)*100+1,100))</f>
        <v>Laptop</v>
      </c>
      <c r="E10" s="5" t="str">
        <f>TRIM(MID(SUBSTITUTE($B10,",",REPT(" ",100)),(COLUMNS($D10:E10)-1)*100+1,100))</f>
        <v>Bag</v>
      </c>
      <c r="F10" s="5" t="str">
        <f>TRIM(MID(SUBSTITUTE($B10,",",REPT(" ",100)),(COLUMNS($D10:F10)-1)*100+1,100))</f>
        <v/>
      </c>
      <c r="G10" s="5" t="str">
        <f>TRIM(MID(SUBSTITUTE($B10,",",REPT(" ",100)),(COLUMNS($D10:G10)-1)*100+1,100))</f>
        <v/>
      </c>
      <c r="I10" s="5" t="str" cm="1">
        <f t="array" ref="I10:J10">_xlfn.TEXTSPLIT(B10,", ")</f>
        <v>Laptop</v>
      </c>
      <c r="J10" s="5" t="str">
        <v>Bag</v>
      </c>
      <c r="K10" s="5"/>
      <c r="L10" s="5"/>
    </row>
    <row r="11" spans="1:12" x14ac:dyDescent="0.35">
      <c r="D11" s="7" t="s">
        <v>189</v>
      </c>
      <c r="E11" s="1" t="s">
        <v>28</v>
      </c>
    </row>
    <row r="12" spans="1:12" x14ac:dyDescent="0.35">
      <c r="D12" s="7" t="s">
        <v>24</v>
      </c>
      <c r="E12" s="1" t="s">
        <v>35</v>
      </c>
    </row>
    <row r="13" spans="1:12" x14ac:dyDescent="0.35">
      <c r="D13" s="7" t="s">
        <v>190</v>
      </c>
      <c r="E13" s="1" t="s">
        <v>29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D6B62-A8B8-4E5B-B8B0-66A5E66C0EDC}">
  <dimension ref="A1:L14"/>
  <sheetViews>
    <sheetView zoomScale="130" zoomScaleNormal="130" workbookViewId="0">
      <selection activeCell="D27" sqref="D27"/>
    </sheetView>
  </sheetViews>
  <sheetFormatPr defaultColWidth="8.90625" defaultRowHeight="14.5" x14ac:dyDescent="0.35"/>
  <cols>
    <col min="1" max="1" width="17.453125" style="1" customWidth="1"/>
    <col min="2" max="2" width="26.6328125" style="1" bestFit="1" customWidth="1"/>
    <col min="3" max="3" width="1.6328125" style="1" customWidth="1"/>
    <col min="4" max="4" width="24.453125" style="1" bestFit="1" customWidth="1"/>
    <col min="5" max="5" width="31.6328125" style="1" bestFit="1" customWidth="1"/>
    <col min="6" max="7" width="17" style="1" customWidth="1"/>
    <col min="8" max="8" width="1.6328125" style="1" customWidth="1"/>
    <col min="9" max="9" width="18.453125" style="1" bestFit="1" customWidth="1"/>
    <col min="10" max="10" width="17.1796875" style="1" bestFit="1" customWidth="1"/>
    <col min="11" max="12" width="16.453125" style="1" bestFit="1" customWidth="1"/>
    <col min="13" max="13" width="1.6328125" style="1" customWidth="1"/>
    <col min="14" max="15" width="14.90625" style="1" customWidth="1"/>
    <col min="16" max="16384" width="8.90625" style="1"/>
  </cols>
  <sheetData>
    <row r="1" spans="1:12" s="2" customFormat="1" ht="21" x14ac:dyDescent="0.5">
      <c r="A1" s="2" t="s">
        <v>0</v>
      </c>
    </row>
    <row r="2" spans="1:12" s="4" customFormat="1" ht="17" x14ac:dyDescent="0.35">
      <c r="A2" s="4" t="s">
        <v>32</v>
      </c>
    </row>
    <row r="3" spans="1:12" ht="16" x14ac:dyDescent="0.35">
      <c r="A3" s="6" t="s">
        <v>13</v>
      </c>
      <c r="B3" s="6"/>
      <c r="D3" s="6" t="s">
        <v>9</v>
      </c>
      <c r="E3" s="6"/>
      <c r="F3" s="6"/>
      <c r="G3" s="6"/>
      <c r="I3" s="6" t="s">
        <v>11</v>
      </c>
      <c r="J3" s="6"/>
      <c r="K3" s="6"/>
      <c r="L3" s="6"/>
    </row>
    <row r="4" spans="1:12" x14ac:dyDescent="0.35">
      <c r="A4" s="7" t="s">
        <v>14</v>
      </c>
      <c r="B4" s="7" t="s">
        <v>15</v>
      </c>
      <c r="D4" s="7" t="s">
        <v>20</v>
      </c>
      <c r="E4" s="7" t="s">
        <v>21</v>
      </c>
      <c r="F4" s="7" t="s">
        <v>22</v>
      </c>
      <c r="G4" s="7" t="s">
        <v>23</v>
      </c>
      <c r="I4" s="7" t="s">
        <v>20</v>
      </c>
      <c r="J4" s="7" t="s">
        <v>21</v>
      </c>
      <c r="K4" s="7" t="s">
        <v>22</v>
      </c>
      <c r="L4" s="7" t="s">
        <v>23</v>
      </c>
    </row>
    <row r="5" spans="1:12" ht="33" customHeight="1" x14ac:dyDescent="0.35">
      <c r="A5" s="7"/>
      <c r="B5" s="7"/>
      <c r="D5" s="65" t="str">
        <f ca="1">_xlfn.FORMULATEXT(D6)</f>
        <v>=IFERROR(TRIM(MID(SUBSTITUTE(SUBSTITUTE(SUBSTITUTE(SUBSTITUTE($B6,"; ",","),"/",","),"#",","),",",REPT(" ",100)),(COLUMNS($D6:D6)-1)*100+1,100)),"")</v>
      </c>
      <c r="E5" s="65"/>
      <c r="F5" s="65"/>
      <c r="G5" s="65"/>
      <c r="H5" s="8"/>
      <c r="I5" s="8" t="str">
        <f ca="1">_xlfn.FORMULATEXT(I6)</f>
        <v>=TEXTSPLIT(REGEXREPLACE(B6,"\s*[,;/#]\s*",","),",")</v>
      </c>
      <c r="J5" s="8"/>
      <c r="K5" s="8"/>
      <c r="L5" s="8"/>
    </row>
    <row r="6" spans="1:12" x14ac:dyDescent="0.35">
      <c r="A6" s="3">
        <v>1001</v>
      </c>
      <c r="B6" s="3" t="s">
        <v>33</v>
      </c>
      <c r="D6" s="5" t="str">
        <f>IFERROR(TRIM(MID(SUBSTITUTE(SUBSTITUTE(SUBSTITUTE(SUBSTITUTE($B6,"; ",","),"/",","),"#",","),",",REPT(" ",100)),(COLUMNS($D6:D6)-1)*100+1,100)),"")</f>
        <v>Laptop</v>
      </c>
      <c r="E6" s="5" t="str">
        <f>IFERROR(TRIM(MID(SUBSTITUTE(SUBSTITUTE(SUBSTITUTE(SUBSTITUTE($B6,"; ",","),"/",","),"#",","),",",REPT(" ",100)),(COLUMNS($D6:E6)-1)*100+1,100)),"")</f>
        <v>Mouse</v>
      </c>
      <c r="F6" s="5" t="str">
        <f>IFERROR(TRIM(MID(SUBSTITUTE(SUBSTITUTE(SUBSTITUTE(SUBSTITUTE($B6,"; ",","),"/",","),"#",","),",",REPT(" ",100)),(COLUMNS($D6:F6)-1)*100+1,100)),"")</f>
        <v>Keyboard</v>
      </c>
      <c r="G6" s="5" t="str">
        <f>IFERROR(TRIM(MID(SUBSTITUTE(SUBSTITUTE(SUBSTITUTE(SUBSTITUTE($B6,"; ",","),"/",","),"#",","),",",REPT(" ",100)),(COLUMNS($D6:G6)-1)*100+1,100)),"")</f>
        <v/>
      </c>
      <c r="I6" s="5" t="str" cm="1">
        <f t="array" ref="I6:K6">_xlfn.TEXTSPLIT(_xlfn.REGEXREPLACE(B6,"\s*[,;/#]\s*",","),",")</f>
        <v>Laptop</v>
      </c>
      <c r="J6" s="5" t="str">
        <v>Mouse</v>
      </c>
      <c r="K6" s="5" t="str">
        <v>Keyboard</v>
      </c>
      <c r="L6" s="5"/>
    </row>
    <row r="7" spans="1:12" x14ac:dyDescent="0.35">
      <c r="A7" s="3">
        <v>1002</v>
      </c>
      <c r="B7" s="3" t="s">
        <v>17</v>
      </c>
      <c r="D7" s="5" t="str">
        <f>IFERROR(TRIM(MID(SUBSTITUTE(SUBSTITUTE(SUBSTITUTE(SUBSTITUTE($B7,"; ",","),"/",","),"#",","),",",REPT(" ",100)),(COLUMNS($D7:D7)-1)*100+1,100)),"")</f>
        <v>Monitor</v>
      </c>
      <c r="E7" s="5" t="str">
        <f>IFERROR(TRIM(MID(SUBSTITUTE(SUBSTITUTE(SUBSTITUTE(SUBSTITUTE($B7,"; ",","),"/",","),"#",","),",",REPT(" ",100)),(COLUMNS($D7:E7)-1)*100+1,100)),"")</f>
        <v>Docking Station</v>
      </c>
      <c r="F7" s="5" t="str">
        <f>IFERROR(TRIM(MID(SUBSTITUTE(SUBSTITUTE(SUBSTITUTE(SUBSTITUTE($B7,"; ",","),"/",","),"#",","),",",REPT(" ",100)),(COLUMNS($D7:F7)-1)*100+1,100)),"")</f>
        <v/>
      </c>
      <c r="G7" s="5" t="str">
        <f>IFERROR(TRIM(MID(SUBSTITUTE(SUBSTITUTE(SUBSTITUTE(SUBSTITUTE($B7,"; ",","),"/",","),"#",","),",",REPT(" ",100)),(COLUMNS($D7:G7)-1)*100+1,100)),"")</f>
        <v/>
      </c>
      <c r="I7" s="5" t="str" cm="1">
        <f t="array" ref="I7:J7">_xlfn.TEXTSPLIT(_xlfn.REGEXREPLACE(B7,"\s*[,;/#]\s*",","),",")</f>
        <v>Monitor</v>
      </c>
      <c r="J7" s="5" t="str">
        <v>Docking Station</v>
      </c>
      <c r="K7" s="5"/>
      <c r="L7" s="5"/>
    </row>
    <row r="8" spans="1:12" x14ac:dyDescent="0.35">
      <c r="A8" s="3">
        <v>1003</v>
      </c>
      <c r="B8" s="3" t="s">
        <v>196</v>
      </c>
      <c r="D8" s="5" t="str">
        <f>IFERROR(TRIM(MID(SUBSTITUTE(SUBSTITUTE(SUBSTITUTE(SUBSTITUTE($B8,"; ",","),"/",","),"#",","),",",REPT(" ",100)),(COLUMNS($D8:D8)-1)*100+1,100)),"")</f>
        <v>Phone</v>
      </c>
      <c r="E8" s="5" t="str">
        <f>IFERROR(TRIM(MID(SUBSTITUTE(SUBSTITUTE(SUBSTITUTE(SUBSTITUTE($B8,"; ",","),"/",","),"#",","),",",REPT(" ",100)),(COLUMNS($D8:E8)-1)*100+1,100)),"")</f>
        <v>Wallet</v>
      </c>
      <c r="F8" s="5" t="str">
        <f>IFERROR(TRIM(MID(SUBSTITUTE(SUBSTITUTE(SUBSTITUTE(SUBSTITUTE($B8,"; ",","),"/",","),"#",","),",",REPT(" ",100)),(COLUMNS($D8:F8)-1)*100+1,100)),"")</f>
        <v>Charger</v>
      </c>
      <c r="G8" s="5" t="str">
        <f>IFERROR(TRIM(MID(SUBSTITUTE(SUBSTITUTE(SUBSTITUTE(SUBSTITUTE($B8,"; ",","),"/",","),"#",","),",",REPT(" ",100)),(COLUMNS($D8:G8)-1)*100+1,100)),"")</f>
        <v>Earbuds</v>
      </c>
      <c r="I8" s="5" t="str" cm="1">
        <f t="array" ref="I8:L8">_xlfn.TEXTSPLIT(_xlfn.REGEXREPLACE(B8,"\s*[,;/#]\s*",","),",")</f>
        <v>Phone</v>
      </c>
      <c r="J8" s="5" t="str">
        <v>Wallet</v>
      </c>
      <c r="K8" s="5" t="str">
        <v>Charger</v>
      </c>
      <c r="L8" s="5" t="str">
        <v>Earbuds</v>
      </c>
    </row>
    <row r="9" spans="1:12" x14ac:dyDescent="0.35">
      <c r="A9" s="3">
        <v>1004</v>
      </c>
      <c r="B9" s="3" t="s">
        <v>18</v>
      </c>
      <c r="D9" s="5" t="str">
        <f>IFERROR(TRIM(MID(SUBSTITUTE(SUBSTITUTE(SUBSTITUTE(SUBSTITUTE($B9,"; ",","),"/",","),"#",","),",",REPT(" ",100)),(COLUMNS($D9:D9)-1)*100+1,100)),"")</f>
        <v>Webcam</v>
      </c>
      <c r="E9" s="5" t="str">
        <f>IFERROR(TRIM(MID(SUBSTITUTE(SUBSTITUTE(SUBSTITUTE(SUBSTITUTE($B9,"; ",","),"/",","),"#",","),",",REPT(" ",100)),(COLUMNS($D9:E9)-1)*100+1,100)),"")</f>
        <v/>
      </c>
      <c r="F9" s="5" t="str">
        <f>IFERROR(TRIM(MID(SUBSTITUTE(SUBSTITUTE(SUBSTITUTE(SUBSTITUTE($B9,"; ",","),"/",","),"#",","),",",REPT(" ",100)),(COLUMNS($D9:F9)-1)*100+1,100)),"")</f>
        <v/>
      </c>
      <c r="G9" s="5" t="str">
        <f>IFERROR(TRIM(MID(SUBSTITUTE(SUBSTITUTE(SUBSTITUTE(SUBSTITUTE($B9,"; ",","),"/",","),"#",","),",",REPT(" ",100)),(COLUMNS($D9:G9)-1)*100+1,100)),"")</f>
        <v/>
      </c>
      <c r="I9" s="5" t="str" cm="1">
        <f t="array" ref="I9">_xlfn.TEXTSPLIT(_xlfn.REGEXREPLACE(B9,"\s*[,;/#]\s*",","),",")</f>
        <v>Webcam</v>
      </c>
      <c r="J9" s="5"/>
      <c r="K9" s="5"/>
      <c r="L9" s="5"/>
    </row>
    <row r="10" spans="1:12" x14ac:dyDescent="0.35">
      <c r="A10" s="3">
        <v>1005</v>
      </c>
      <c r="B10" s="3" t="s">
        <v>19</v>
      </c>
      <c r="D10" s="5" t="str">
        <f>IFERROR(TRIM(MID(SUBSTITUTE(SUBSTITUTE(SUBSTITUTE(SUBSTITUTE($B10,"; ",","),"/",","),"#",","),",",REPT(" ",100)),(COLUMNS($D10:D10)-1)*100+1,100)),"")</f>
        <v>Laptop</v>
      </c>
      <c r="E10" s="5" t="str">
        <f>IFERROR(TRIM(MID(SUBSTITUTE(SUBSTITUTE(SUBSTITUTE(SUBSTITUTE($B10,"; ",","),"/",","),"#",","),",",REPT(" ",100)),(COLUMNS($D10:E10)-1)*100+1,100)),"")</f>
        <v>Bag</v>
      </c>
      <c r="F10" s="5" t="str">
        <f>IFERROR(TRIM(MID(SUBSTITUTE(SUBSTITUTE(SUBSTITUTE(SUBSTITUTE($B10,"; ",","),"/",","),"#",","),",",REPT(" ",100)),(COLUMNS($D10:F10)-1)*100+1,100)),"")</f>
        <v/>
      </c>
      <c r="G10" s="5" t="str">
        <f>IFERROR(TRIM(MID(SUBSTITUTE(SUBSTITUTE(SUBSTITUTE(SUBSTITUTE($B10,"; ",","),"/",","),"#",","),",",REPT(" ",100)),(COLUMNS($D10:G10)-1)*100+1,100)),"")</f>
        <v/>
      </c>
      <c r="I10" s="5" t="str" cm="1">
        <f t="array" ref="I10:J10">_xlfn.TEXTSPLIT(_xlfn.REGEXREPLACE(B10,"\s*[,;/#]\s*",","),",")</f>
        <v>Laptop</v>
      </c>
      <c r="J10" s="5" t="str">
        <v>Bag</v>
      </c>
      <c r="K10" s="5"/>
      <c r="L10" s="5"/>
    </row>
    <row r="11" spans="1:12" x14ac:dyDescent="0.35">
      <c r="D11" s="7" t="s">
        <v>189</v>
      </c>
      <c r="E11" s="1" t="s">
        <v>36</v>
      </c>
    </row>
    <row r="12" spans="1:12" x14ac:dyDescent="0.35">
      <c r="D12" s="7" t="s">
        <v>24</v>
      </c>
      <c r="E12" s="1" t="s">
        <v>34</v>
      </c>
    </row>
    <row r="13" spans="1:12" x14ac:dyDescent="0.35">
      <c r="D13" s="7" t="s">
        <v>190</v>
      </c>
      <c r="E13" s="1" t="s">
        <v>197</v>
      </c>
    </row>
    <row r="14" spans="1:12" x14ac:dyDescent="0.35">
      <c r="E14" s="1" t="s">
        <v>171</v>
      </c>
    </row>
  </sheetData>
  <mergeCells count="1">
    <mergeCell ref="D5:G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47DE5-DE22-46B7-84CF-59184D3A23DC}">
  <sheetPr codeName="Sheet2"/>
  <dimension ref="A1:N13"/>
  <sheetViews>
    <sheetView zoomScale="130" zoomScaleNormal="130" workbookViewId="0">
      <pane ySplit="1" topLeftCell="A2" activePane="bottomLeft" state="frozen"/>
      <selection pane="bottomLeft" activeCell="H15" sqref="H15"/>
    </sheetView>
  </sheetViews>
  <sheetFormatPr defaultColWidth="8.90625" defaultRowHeight="14.5" x14ac:dyDescent="0.35"/>
  <cols>
    <col min="1" max="4" width="16.453125" style="1" customWidth="1"/>
    <col min="5" max="5" width="1.90625" style="1" customWidth="1"/>
    <col min="6" max="6" width="29.453125" style="1" customWidth="1"/>
    <col min="7" max="7" width="1.90625" style="1" customWidth="1"/>
    <col min="8" max="8" width="30.36328125" style="1" customWidth="1"/>
    <col min="9" max="9" width="1.90625" style="1" customWidth="1"/>
    <col min="10" max="10" width="34.453125" style="1" customWidth="1"/>
    <col min="11" max="11" width="1.90625" style="1" customWidth="1"/>
    <col min="12" max="12" width="29.453125" style="1" customWidth="1"/>
    <col min="13" max="13" width="1.90625" style="1" customWidth="1"/>
    <col min="14" max="14" width="29.453125" style="1" customWidth="1"/>
    <col min="15" max="16384" width="8.90625" style="1"/>
  </cols>
  <sheetData>
    <row r="1" spans="1:14" s="2" customFormat="1" ht="21" x14ac:dyDescent="0.5">
      <c r="A1" s="2" t="s">
        <v>0</v>
      </c>
    </row>
    <row r="2" spans="1:14" s="4" customFormat="1" ht="17" x14ac:dyDescent="0.35">
      <c r="A2" s="4" t="s">
        <v>37</v>
      </c>
    </row>
    <row r="3" spans="1:14" ht="16" x14ac:dyDescent="0.35">
      <c r="A3" s="6" t="s">
        <v>13</v>
      </c>
      <c r="B3" s="6"/>
      <c r="C3" s="6"/>
      <c r="D3" s="6"/>
      <c r="F3" s="6" t="s">
        <v>51</v>
      </c>
      <c r="H3" s="6" t="s">
        <v>53</v>
      </c>
      <c r="J3" s="6" t="s">
        <v>174</v>
      </c>
      <c r="L3" s="6" t="s">
        <v>172</v>
      </c>
      <c r="N3" s="6" t="s">
        <v>54</v>
      </c>
    </row>
    <row r="4" spans="1:14" s="7" customFormat="1" x14ac:dyDescent="0.35">
      <c r="A4" s="7" t="s">
        <v>20</v>
      </c>
      <c r="B4" s="7" t="s">
        <v>21</v>
      </c>
      <c r="C4" s="7" t="s">
        <v>22</v>
      </c>
      <c r="D4" s="7" t="s">
        <v>23</v>
      </c>
      <c r="F4" s="7" t="s">
        <v>49</v>
      </c>
      <c r="H4" s="7" t="s">
        <v>49</v>
      </c>
      <c r="J4" s="7" t="s">
        <v>49</v>
      </c>
      <c r="L4" s="7" t="s">
        <v>49</v>
      </c>
      <c r="N4" s="7" t="s">
        <v>49</v>
      </c>
    </row>
    <row r="5" spans="1:14" s="10" customFormat="1" ht="45.5" customHeight="1" x14ac:dyDescent="0.35">
      <c r="F5" s="10" t="str">
        <f ca="1">_xlfn.FORMULATEXT(F6)</f>
        <v>=A6&amp;", "&amp;B6&amp;", "&amp;C6&amp;", "&amp;D6</v>
      </c>
      <c r="H5" s="10" t="str">
        <f ca="1">_xlfn.FORMULATEXT(H6)</f>
        <v>=CONCATENATE(A6,", ",B6,", ",C6,", ",D6)</v>
      </c>
      <c r="J5" s="10" t="str">
        <f ca="1">_xlfn.FORMULATEXT(J6)</f>
        <v>=CONCATENATE(A6,IF(B6&lt;&gt;"",", "&amp;B6,""),IF(C6&lt;&gt;"",", "&amp;C6,""),IF(D6&lt;&gt;"",", "&amp;D6,""))</v>
      </c>
      <c r="L5" s="10" t="str">
        <f ca="1">_xlfn.FORMULATEXT(L6)</f>
        <v>=CONCAT(IF(A6:D6="","",A6:D6&amp;", "))</v>
      </c>
      <c r="N5" s="10" t="str">
        <f ca="1">_xlfn.FORMULATEXT(N6)</f>
        <v>=TEXTJOIN(", ",TRUE,A6:D6)</v>
      </c>
    </row>
    <row r="6" spans="1:14" x14ac:dyDescent="0.35">
      <c r="A6" s="3" t="s">
        <v>38</v>
      </c>
      <c r="B6" s="3" t="s">
        <v>39</v>
      </c>
      <c r="C6" s="3" t="s">
        <v>40</v>
      </c>
      <c r="D6" s="3" t="s">
        <v>41</v>
      </c>
      <c r="F6" s="5" t="str">
        <f>A6&amp;", "&amp;B6&amp;", "&amp;C6&amp;", "&amp;D6</f>
        <v xml:space="preserve">Laptop, Mouse, Keyboard, </v>
      </c>
      <c r="H6" s="5" t="str">
        <f>CONCATENATE(A6,", ",B6,", ",C6,", ",D6)</f>
        <v xml:space="preserve">Laptop, Mouse, Keyboard, </v>
      </c>
      <c r="J6" s="5" t="str">
        <f>CONCATENATE(A6,IF(B6&lt;&gt;"",", "&amp;B6,""),IF(C6&lt;&gt;"",", "&amp;C6,""),IF(D6&lt;&gt;"",", "&amp;D6,""))</f>
        <v>Laptop, Mouse, Keyboard</v>
      </c>
      <c r="L6" s="5" t="str" cm="1">
        <f t="array" ref="L6">_xlfn.CONCAT(IF(A6:D6="","",A6:D6&amp;", "))</f>
        <v xml:space="preserve">Laptop, Mouse, Keyboard, </v>
      </c>
      <c r="N6" s="5" t="str">
        <f>_xlfn.TEXTJOIN(", ",TRUE,A6:D6)</f>
        <v>Laptop, Mouse, Keyboard</v>
      </c>
    </row>
    <row r="7" spans="1:14" x14ac:dyDescent="0.35">
      <c r="A7" s="3" t="s">
        <v>42</v>
      </c>
      <c r="B7" s="3" t="s">
        <v>43</v>
      </c>
      <c r="C7" s="3" t="s">
        <v>41</v>
      </c>
      <c r="D7" s="3" t="s">
        <v>41</v>
      </c>
      <c r="F7" s="5" t="str">
        <f t="shared" ref="F7:F10" si="0">A7&amp;", "&amp;B7&amp;", "&amp;C7&amp;", "&amp;D7</f>
        <v xml:space="preserve">Monitor, Docking Station, , </v>
      </c>
      <c r="H7" s="5" t="str">
        <f t="shared" ref="H7:H10" si="1">CONCATENATE(A7,", ",B7,", ",C7,", ",D7)</f>
        <v xml:space="preserve">Monitor, Docking Station, , </v>
      </c>
      <c r="J7" s="5" t="str">
        <f t="shared" ref="J7:J10" si="2">CONCATENATE(A7,IF(B7&lt;&gt;"",", "&amp;B7,""),IF(C7&lt;&gt;"",", "&amp;C7,""),IF(D7&lt;&gt;"",", "&amp;D7,""))</f>
        <v>Monitor, Docking Station</v>
      </c>
      <c r="L7" s="5" t="str" cm="1">
        <f t="array" ref="L7">_xlfn.CONCAT(IF(A7:D7="","",A7:D7&amp;", "))</f>
        <v xml:space="preserve">Monitor, Docking Station, </v>
      </c>
      <c r="N7" s="5" t="str">
        <f t="shared" ref="N7:N10" si="3">_xlfn.TEXTJOIN(", ",TRUE,A7:D7)</f>
        <v>Monitor, Docking Station</v>
      </c>
    </row>
    <row r="8" spans="1:14" x14ac:dyDescent="0.35">
      <c r="A8" s="3" t="s">
        <v>44</v>
      </c>
      <c r="B8" s="3" t="s">
        <v>45</v>
      </c>
      <c r="C8" s="3" t="s">
        <v>46</v>
      </c>
      <c r="D8" s="3" t="s">
        <v>47</v>
      </c>
      <c r="F8" s="5" t="str">
        <f t="shared" si="0"/>
        <v>Phone, Case, Charger, Earbuds</v>
      </c>
      <c r="H8" s="5" t="str">
        <f t="shared" si="1"/>
        <v>Phone, Case, Charger, Earbuds</v>
      </c>
      <c r="J8" s="5" t="str">
        <f t="shared" si="2"/>
        <v>Phone, Case, Charger, Earbuds</v>
      </c>
      <c r="L8" s="5" t="str" cm="1">
        <f t="array" ref="L8">_xlfn.CONCAT(IF(A8:D8="","",A8:D8&amp;", "))</f>
        <v xml:space="preserve">Phone, Case, Charger, Earbuds, </v>
      </c>
      <c r="N8" s="5" t="str">
        <f t="shared" si="3"/>
        <v>Phone, Case, Charger, Earbuds</v>
      </c>
    </row>
    <row r="9" spans="1:14" x14ac:dyDescent="0.35">
      <c r="A9" s="3" t="s">
        <v>18</v>
      </c>
      <c r="B9" s="3" t="s">
        <v>41</v>
      </c>
      <c r="C9" s="3" t="s">
        <v>41</v>
      </c>
      <c r="D9" s="3" t="s">
        <v>41</v>
      </c>
      <c r="F9" s="5" t="str">
        <f t="shared" si="0"/>
        <v xml:space="preserve">Webcam, , , </v>
      </c>
      <c r="H9" s="5" t="str">
        <f t="shared" si="1"/>
        <v xml:space="preserve">Webcam, , , </v>
      </c>
      <c r="J9" s="5" t="str">
        <f t="shared" si="2"/>
        <v>Webcam</v>
      </c>
      <c r="L9" s="5" t="str" cm="1">
        <f t="array" ref="L9">_xlfn.CONCAT(IF(A9:D9="","",A9:D9&amp;", "))</f>
        <v xml:space="preserve">Webcam, </v>
      </c>
      <c r="N9" s="5" t="str">
        <f t="shared" si="3"/>
        <v>Webcam</v>
      </c>
    </row>
    <row r="10" spans="1:14" x14ac:dyDescent="0.35">
      <c r="A10" s="3" t="s">
        <v>38</v>
      </c>
      <c r="B10" s="3" t="s">
        <v>48</v>
      </c>
      <c r="C10" s="3" t="s">
        <v>41</v>
      </c>
      <c r="D10" s="3" t="s">
        <v>41</v>
      </c>
      <c r="F10" s="5" t="str">
        <f t="shared" si="0"/>
        <v xml:space="preserve">Laptop, Bag, , </v>
      </c>
      <c r="H10" s="5" t="str">
        <f t="shared" si="1"/>
        <v xml:space="preserve">Laptop, Bag, , </v>
      </c>
      <c r="J10" s="5" t="str">
        <f t="shared" si="2"/>
        <v>Laptop, Bag</v>
      </c>
      <c r="L10" s="5" t="str" cm="1">
        <f t="array" ref="L10">_xlfn.CONCAT(IF(A10:D10="","",A10:D10&amp;", "))</f>
        <v xml:space="preserve">Laptop, Bag, </v>
      </c>
      <c r="N10" s="5" t="str">
        <f t="shared" si="3"/>
        <v>Laptop, Bag</v>
      </c>
    </row>
    <row r="11" spans="1:14" s="32" customFormat="1" ht="29" x14ac:dyDescent="0.35">
      <c r="D11" s="23" t="s">
        <v>189</v>
      </c>
      <c r="F11" s="32" t="s">
        <v>50</v>
      </c>
      <c r="H11" s="32" t="s">
        <v>175</v>
      </c>
      <c r="J11" s="32" t="s">
        <v>176</v>
      </c>
      <c r="L11" s="32" t="s">
        <v>52</v>
      </c>
    </row>
    <row r="12" spans="1:14" s="32" customFormat="1" ht="43.5" x14ac:dyDescent="0.35">
      <c r="D12" s="23" t="s">
        <v>24</v>
      </c>
      <c r="F12" s="32" t="s">
        <v>173</v>
      </c>
      <c r="H12" s="32" t="s">
        <v>173</v>
      </c>
      <c r="J12" s="32" t="s">
        <v>178</v>
      </c>
      <c r="L12" s="32" t="s">
        <v>177</v>
      </c>
    </row>
    <row r="13" spans="1:14" s="12" customFormat="1" ht="43.5" x14ac:dyDescent="0.35">
      <c r="F13" s="27"/>
      <c r="H13" s="27"/>
      <c r="J13" s="27"/>
      <c r="L13" s="13" t="s">
        <v>190</v>
      </c>
      <c r="N13" s="32"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1EBFF-9E04-4EE6-9089-703BFC3B8352}">
  <sheetPr codeName="Sheet8"/>
  <dimension ref="A1:O29"/>
  <sheetViews>
    <sheetView zoomScale="130" zoomScaleNormal="130" workbookViewId="0">
      <pane xSplit="4" ySplit="1" topLeftCell="H2" activePane="bottomRight" state="frozen"/>
      <selection pane="topRight" activeCell="E1" sqref="E1"/>
      <selection pane="bottomLeft" activeCell="A2" sqref="A2"/>
      <selection pane="bottomRight" activeCell="M17" sqref="M17"/>
    </sheetView>
  </sheetViews>
  <sheetFormatPr defaultColWidth="8.90625" defaultRowHeight="14.5" x14ac:dyDescent="0.35"/>
  <cols>
    <col min="1" max="3" width="16.453125" style="12" customWidth="1"/>
    <col min="4" max="4" width="1.90625" style="12" customWidth="1"/>
    <col min="5" max="7" width="16.6328125" style="12" customWidth="1"/>
    <col min="8" max="8" width="1.90625" style="12" customWidth="1"/>
    <col min="9" max="11" width="16.6328125" style="12" customWidth="1"/>
    <col min="12" max="12" width="1.90625" style="12" customWidth="1"/>
    <col min="13" max="15" width="16.6328125" style="12" customWidth="1"/>
    <col min="16" max="16384" width="8.90625" style="12"/>
  </cols>
  <sheetData>
    <row r="1" spans="1:15" s="19" customFormat="1" ht="21" x14ac:dyDescent="0.35">
      <c r="A1" s="19" t="s">
        <v>116</v>
      </c>
    </row>
    <row r="2" spans="1:15" s="4" customFormat="1" ht="17" x14ac:dyDescent="0.35">
      <c r="A2" s="4" t="s">
        <v>117</v>
      </c>
    </row>
    <row r="3" spans="1:15" ht="16" x14ac:dyDescent="0.35">
      <c r="A3" s="6" t="s">
        <v>13</v>
      </c>
      <c r="B3" s="6"/>
      <c r="C3" s="6"/>
      <c r="E3" s="6" t="s">
        <v>119</v>
      </c>
      <c r="F3" s="6"/>
      <c r="G3" s="6"/>
      <c r="I3" s="6" t="s">
        <v>120</v>
      </c>
      <c r="J3" s="6"/>
      <c r="K3" s="6"/>
      <c r="M3" s="6" t="s">
        <v>118</v>
      </c>
      <c r="N3" s="6"/>
      <c r="O3" s="6"/>
    </row>
    <row r="4" spans="1:15" s="21" customFormat="1" x14ac:dyDescent="0.35">
      <c r="A4" s="21" t="s">
        <v>56</v>
      </c>
      <c r="B4" s="21" t="s">
        <v>57</v>
      </c>
      <c r="C4" s="21" t="s">
        <v>58</v>
      </c>
      <c r="E4" s="21" t="s">
        <v>56</v>
      </c>
      <c r="F4" s="21" t="s">
        <v>57</v>
      </c>
      <c r="G4" s="21" t="s">
        <v>58</v>
      </c>
      <c r="I4" s="21" t="s">
        <v>56</v>
      </c>
      <c r="J4" s="21" t="s">
        <v>57</v>
      </c>
      <c r="K4" s="21" t="s">
        <v>58</v>
      </c>
      <c r="M4" s="21" t="s">
        <v>56</v>
      </c>
      <c r="N4" s="21" t="s">
        <v>57</v>
      </c>
      <c r="O4" s="21" t="s">
        <v>58</v>
      </c>
    </row>
    <row r="5" spans="1:15" s="10" customFormat="1" ht="47.5" customHeight="1" x14ac:dyDescent="0.35">
      <c r="E5" s="11"/>
      <c r="F5" s="11" t="str">
        <f t="shared" ref="F5:G5" ca="1" si="0">_xlfn.FORMULATEXT(F6)</f>
        <v>=VLOOKUP($E6,$A:$C,2,0)</v>
      </c>
      <c r="G5" s="11" t="str">
        <f t="shared" ca="1" si="0"/>
        <v>=VLOOKUP($E6,$A:$C,3,0)</v>
      </c>
      <c r="I5" s="11"/>
      <c r="J5" s="11" t="str">
        <f t="shared" ref="J5:K5" ca="1" si="1">_xlfn.FORMULATEXT(J6)</f>
        <v>=INDEX(B:B,MATCH($I6,$A:$A,0))</v>
      </c>
      <c r="K5" s="11" t="str">
        <f t="shared" ca="1" si="1"/>
        <v>=INDEX(C:C,MATCH($I6,$A:$A,0))</v>
      </c>
      <c r="M5" s="17"/>
      <c r="N5" s="17" t="str">
        <f t="shared" ref="N5:O5" ca="1" si="2">_xlfn.FORMULATEXT(N6)</f>
        <v>=XLOOKUP($M6,$A:$A,B:B,"Not Found",0)</v>
      </c>
      <c r="O5" s="17" t="str">
        <f t="shared" ca="1" si="2"/>
        <v>=XLOOKUP($M6,$A:$A,C:C,"Not Found",0)</v>
      </c>
    </row>
    <row r="6" spans="1:15" x14ac:dyDescent="0.35">
      <c r="A6" s="25" t="s">
        <v>59</v>
      </c>
      <c r="B6" s="25" t="s">
        <v>60</v>
      </c>
      <c r="C6" s="24">
        <v>84250</v>
      </c>
      <c r="E6" s="25" t="s">
        <v>65</v>
      </c>
      <c r="F6" s="12" t="str">
        <f>VLOOKUP($E6,$A:$C,2,0)</f>
        <v>London</v>
      </c>
      <c r="G6" s="12">
        <f>VLOOKUP($E6,$A:$C,3,0)</f>
        <v>72800</v>
      </c>
      <c r="I6" s="25" t="s">
        <v>65</v>
      </c>
      <c r="J6" s="12" t="str">
        <f>INDEX(B:B,MATCH($I6,$A:$A,0))</f>
        <v>London</v>
      </c>
      <c r="K6" s="12">
        <f>INDEX(C:C,MATCH($I6,$A:$A,0))</f>
        <v>72800</v>
      </c>
      <c r="M6" s="25" t="s">
        <v>65</v>
      </c>
      <c r="N6" s="12" t="str">
        <f>_xlfn.XLOOKUP($M6,$A:$A,B:B,"Not Found",0)</f>
        <v>London</v>
      </c>
      <c r="O6" s="12">
        <f>_xlfn.XLOOKUP($M6,$A:$A,C:C,"Not Found",0)</f>
        <v>72800</v>
      </c>
    </row>
    <row r="7" spans="1:15" x14ac:dyDescent="0.35">
      <c r="A7" s="25" t="s">
        <v>61</v>
      </c>
      <c r="B7" s="25" t="s">
        <v>62</v>
      </c>
      <c r="C7" s="24">
        <v>67300</v>
      </c>
      <c r="E7" s="25" t="s">
        <v>121</v>
      </c>
      <c r="F7" s="12" t="e">
        <f>VLOOKUP($E7,$A:$C,2,0)</f>
        <v>#N/A</v>
      </c>
      <c r="G7" s="12" t="e">
        <f>VLOOKUP($E7,$A:$C,3,0)</f>
        <v>#N/A</v>
      </c>
      <c r="I7" s="25" t="s">
        <v>121</v>
      </c>
      <c r="J7" s="12" t="e">
        <f>INDEX(B:B,MATCH($I7,$A:$A,0))</f>
        <v>#N/A</v>
      </c>
      <c r="K7" s="12" t="e">
        <f>INDEX(C:C,MATCH($I7,$A:$A,0))</f>
        <v>#N/A</v>
      </c>
      <c r="M7" s="25" t="s">
        <v>121</v>
      </c>
      <c r="N7" s="12" t="str">
        <f>_xlfn.XLOOKUP($M7,$A:$A,B:B,"Not Found",0)</f>
        <v>Not Found</v>
      </c>
      <c r="O7" s="12" t="str">
        <f>_xlfn.XLOOKUP($M7,$A:$A,C:C,"Not Found",0)</f>
        <v>Not Found</v>
      </c>
    </row>
    <row r="8" spans="1:15" x14ac:dyDescent="0.35">
      <c r="A8" s="25" t="s">
        <v>63</v>
      </c>
      <c r="B8" s="25" t="s">
        <v>64</v>
      </c>
      <c r="C8" s="24">
        <v>95800</v>
      </c>
    </row>
    <row r="9" spans="1:15" x14ac:dyDescent="0.35">
      <c r="A9" s="25" t="s">
        <v>65</v>
      </c>
      <c r="B9" s="25" t="s">
        <v>60</v>
      </c>
      <c r="C9" s="24">
        <v>72800</v>
      </c>
    </row>
    <row r="10" spans="1:15" x14ac:dyDescent="0.35">
      <c r="A10" s="25" t="s">
        <v>66</v>
      </c>
      <c r="B10" s="25" t="s">
        <v>67</v>
      </c>
      <c r="C10" s="24">
        <v>55400</v>
      </c>
    </row>
    <row r="11" spans="1:15" x14ac:dyDescent="0.35">
      <c r="A11" s="25" t="s">
        <v>68</v>
      </c>
      <c r="B11" s="25" t="s">
        <v>69</v>
      </c>
      <c r="C11" s="24">
        <v>68950</v>
      </c>
    </row>
    <row r="12" spans="1:15" x14ac:dyDescent="0.35">
      <c r="A12" s="25" t="s">
        <v>70</v>
      </c>
      <c r="B12" s="25" t="s">
        <v>60</v>
      </c>
      <c r="C12" s="24">
        <v>102300</v>
      </c>
    </row>
    <row r="13" spans="1:15" x14ac:dyDescent="0.35">
      <c r="A13" s="25" t="s">
        <v>71</v>
      </c>
      <c r="B13" s="25" t="s">
        <v>62</v>
      </c>
      <c r="C13" s="24">
        <v>47750</v>
      </c>
    </row>
    <row r="14" spans="1:15" x14ac:dyDescent="0.35">
      <c r="A14" s="25" t="s">
        <v>72</v>
      </c>
      <c r="B14" s="25" t="s">
        <v>64</v>
      </c>
      <c r="C14" s="24">
        <v>83600</v>
      </c>
    </row>
    <row r="15" spans="1:15" x14ac:dyDescent="0.35">
      <c r="A15" s="25" t="s">
        <v>73</v>
      </c>
      <c r="B15" s="25" t="s">
        <v>67</v>
      </c>
      <c r="C15" s="24">
        <v>59100</v>
      </c>
    </row>
    <row r="16" spans="1:15" x14ac:dyDescent="0.35">
      <c r="A16" s="25" t="s">
        <v>74</v>
      </c>
      <c r="B16" s="25" t="s">
        <v>69</v>
      </c>
      <c r="C16" s="24">
        <v>74850</v>
      </c>
    </row>
    <row r="17" spans="1:15" x14ac:dyDescent="0.35">
      <c r="A17" s="25" t="s">
        <v>75</v>
      </c>
      <c r="B17" s="25" t="s">
        <v>60</v>
      </c>
      <c r="C17" s="24">
        <v>66400</v>
      </c>
    </row>
    <row r="18" spans="1:15" x14ac:dyDescent="0.35">
      <c r="A18" s="25" t="s">
        <v>76</v>
      </c>
      <c r="B18" s="25" t="s">
        <v>62</v>
      </c>
      <c r="C18" s="24">
        <v>80500</v>
      </c>
    </row>
    <row r="19" spans="1:15" x14ac:dyDescent="0.35">
      <c r="A19" s="25" t="s">
        <v>77</v>
      </c>
      <c r="B19" s="25" t="s">
        <v>64</v>
      </c>
      <c r="C19" s="24">
        <v>72250</v>
      </c>
    </row>
    <row r="20" spans="1:15" x14ac:dyDescent="0.35">
      <c r="A20" s="25" t="s">
        <v>78</v>
      </c>
      <c r="B20" s="25" t="s">
        <v>67</v>
      </c>
      <c r="C20" s="24">
        <v>95800</v>
      </c>
    </row>
    <row r="21" spans="1:15" x14ac:dyDescent="0.35">
      <c r="A21" s="25" t="s">
        <v>79</v>
      </c>
      <c r="B21" s="25" t="s">
        <v>69</v>
      </c>
      <c r="C21" s="24">
        <v>61200</v>
      </c>
    </row>
    <row r="22" spans="1:15" x14ac:dyDescent="0.35">
      <c r="A22" s="25" t="s">
        <v>80</v>
      </c>
      <c r="B22" s="25" t="s">
        <v>60</v>
      </c>
      <c r="C22" s="24">
        <v>88750</v>
      </c>
    </row>
    <row r="23" spans="1:15" x14ac:dyDescent="0.35">
      <c r="A23" s="25" t="s">
        <v>81</v>
      </c>
      <c r="B23" s="25" t="s">
        <v>62</v>
      </c>
      <c r="C23" s="24">
        <v>53900</v>
      </c>
    </row>
    <row r="24" spans="1:15" x14ac:dyDescent="0.35">
      <c r="A24" s="25" t="s">
        <v>82</v>
      </c>
      <c r="B24" s="25" t="s">
        <v>64</v>
      </c>
      <c r="C24" s="24">
        <v>78150</v>
      </c>
    </row>
    <row r="25" spans="1:15" x14ac:dyDescent="0.35">
      <c r="A25" s="25" t="s">
        <v>83</v>
      </c>
      <c r="B25" s="25" t="s">
        <v>67</v>
      </c>
      <c r="C25" s="24">
        <v>84500</v>
      </c>
    </row>
    <row r="27" spans="1:15" ht="51" customHeight="1" x14ac:dyDescent="0.35">
      <c r="C27" s="13" t="s">
        <v>189</v>
      </c>
      <c r="E27" s="66" t="s">
        <v>122</v>
      </c>
      <c r="F27" s="66"/>
      <c r="G27" s="66"/>
      <c r="I27" s="66" t="s">
        <v>124</v>
      </c>
      <c r="J27" s="66"/>
      <c r="K27" s="66"/>
      <c r="M27" s="66"/>
      <c r="N27" s="66"/>
      <c r="O27" s="66"/>
    </row>
    <row r="28" spans="1:15" ht="80" customHeight="1" x14ac:dyDescent="0.35">
      <c r="C28" s="13" t="s">
        <v>24</v>
      </c>
      <c r="E28" s="66" t="s">
        <v>123</v>
      </c>
      <c r="F28" s="66"/>
      <c r="G28" s="66"/>
      <c r="I28" s="66" t="s">
        <v>125</v>
      </c>
      <c r="J28" s="66"/>
      <c r="K28" s="66"/>
      <c r="M28" s="66"/>
      <c r="N28" s="66"/>
      <c r="O28" s="66"/>
    </row>
    <row r="29" spans="1:15" ht="53.4" customHeight="1" x14ac:dyDescent="0.35">
      <c r="C29" s="27" t="s">
        <v>190</v>
      </c>
      <c r="M29" s="66" t="s">
        <v>126</v>
      </c>
      <c r="N29" s="66"/>
      <c r="O29" s="66"/>
    </row>
  </sheetData>
  <mergeCells count="7">
    <mergeCell ref="M29:O29"/>
    <mergeCell ref="I27:K27"/>
    <mergeCell ref="I28:K28"/>
    <mergeCell ref="E27:G27"/>
    <mergeCell ref="E28:G28"/>
    <mergeCell ref="M27:O27"/>
    <mergeCell ref="M28:O2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B94E4-5E54-4D76-9323-62459F602D63}">
  <sheetPr codeName="Sheet4"/>
  <dimension ref="A1:M29"/>
  <sheetViews>
    <sheetView zoomScale="130" zoomScaleNormal="130" workbookViewId="0">
      <pane xSplit="4" ySplit="1" topLeftCell="E2" activePane="bottomRight" state="frozen"/>
      <selection pane="topRight" activeCell="E1" sqref="E1"/>
      <selection pane="bottomLeft" activeCell="A2" sqref="A2"/>
      <selection pane="bottomRight" activeCell="E8" sqref="E8"/>
    </sheetView>
  </sheetViews>
  <sheetFormatPr defaultColWidth="8.90625" defaultRowHeight="14.5" x14ac:dyDescent="0.35"/>
  <cols>
    <col min="1" max="3" width="16.453125" style="12" customWidth="1"/>
    <col min="4" max="4" width="1.90625" style="12" customWidth="1"/>
    <col min="5" max="5" width="21.36328125" style="12" customWidth="1"/>
    <col min="6" max="7" width="8.90625" style="12"/>
    <col min="8" max="8" width="17" style="12" customWidth="1"/>
    <col min="9" max="9" width="2" style="12" customWidth="1"/>
    <col min="10" max="10" width="18.453125" style="12" customWidth="1"/>
    <col min="11" max="11" width="14.453125" style="12" customWidth="1"/>
    <col min="12" max="16384" width="8.90625" style="12"/>
  </cols>
  <sheetData>
    <row r="1" spans="1:13" s="19" customFormat="1" ht="21" x14ac:dyDescent="0.35">
      <c r="A1" s="19" t="s">
        <v>128</v>
      </c>
    </row>
    <row r="2" spans="1:13" s="4" customFormat="1" ht="17" x14ac:dyDescent="0.35">
      <c r="A2" s="4" t="s">
        <v>113</v>
      </c>
    </row>
    <row r="3" spans="1:13" ht="16" x14ac:dyDescent="0.35">
      <c r="A3" s="6" t="s">
        <v>13</v>
      </c>
      <c r="B3" s="6"/>
      <c r="C3" s="6"/>
      <c r="E3" s="6" t="s">
        <v>106</v>
      </c>
      <c r="F3" s="6"/>
      <c r="G3" s="6"/>
      <c r="H3" s="6"/>
      <c r="J3" s="6" t="s">
        <v>112</v>
      </c>
      <c r="K3" s="6"/>
      <c r="L3" s="6"/>
      <c r="M3" s="6"/>
    </row>
    <row r="4" spans="1:13" s="21" customFormat="1" x14ac:dyDescent="0.35">
      <c r="A4" s="21" t="s">
        <v>56</v>
      </c>
      <c r="B4" s="21" t="s">
        <v>57</v>
      </c>
      <c r="C4" s="21" t="s">
        <v>58</v>
      </c>
      <c r="E4" s="21" t="s">
        <v>104</v>
      </c>
      <c r="G4" s="21" t="s">
        <v>105</v>
      </c>
      <c r="H4" s="21" t="s">
        <v>57</v>
      </c>
      <c r="J4" s="21" t="s">
        <v>57</v>
      </c>
    </row>
    <row r="5" spans="1:13" s="10" customFormat="1" ht="29" x14ac:dyDescent="0.35">
      <c r="E5" s="11" t="str">
        <f ca="1">_xlfn.FORMULATEXT(E6)</f>
        <v>=IF(COUNTIFS(B$5:B5,B6)&gt;0,0,MAX(E$5:E5)+1)</v>
      </c>
      <c r="H5" s="11" t="str">
        <f t="shared" ref="H5" ca="1" si="0">_xlfn.FORMULATEXT(H6)</f>
        <v>=INDEX(B:B,MATCH($G6,$E:$E,0))</v>
      </c>
      <c r="J5" s="11" t="str">
        <f ca="1">_xlfn.FORMULATEXT(J6)</f>
        <v>=UNIQUE(B6:B25)</v>
      </c>
    </row>
    <row r="6" spans="1:13" x14ac:dyDescent="0.35">
      <c r="A6" s="25" t="s">
        <v>59</v>
      </c>
      <c r="B6" s="25" t="s">
        <v>60</v>
      </c>
      <c r="C6" s="24">
        <v>84250</v>
      </c>
      <c r="E6" s="12">
        <f ca="1">IF(COUNTIFS(B$5:B5,B6)&gt;0,0,MAX(E$5:E5)+1)</f>
        <v>1</v>
      </c>
      <c r="G6" s="24">
        <v>1</v>
      </c>
      <c r="H6" s="12" t="str">
        <f ca="1">INDEX(B:B,MATCH($G6,$E:$E,0))</f>
        <v>London</v>
      </c>
      <c r="J6" s="12" t="str" cm="1">
        <f t="array" ref="J6:J10">_xlfn.UNIQUE(B6:B25)</f>
        <v>London</v>
      </c>
    </row>
    <row r="7" spans="1:13" x14ac:dyDescent="0.35">
      <c r="A7" s="25" t="s">
        <v>61</v>
      </c>
      <c r="B7" s="25" t="s">
        <v>62</v>
      </c>
      <c r="C7" s="24">
        <v>67300</v>
      </c>
      <c r="E7" s="12">
        <f ca="1">IF(COUNTIFS(B$5:B6,B7)&gt;0,0,MAX(E$5:E6)+1)</f>
        <v>2</v>
      </c>
      <c r="G7" s="24">
        <v>2</v>
      </c>
      <c r="H7" s="12" t="str">
        <f t="shared" ref="H7:H17" ca="1" si="1">INDEX(B:B,MATCH($G7,$E:$E,0))</f>
        <v>Manchester</v>
      </c>
      <c r="J7" s="12" t="str">
        <v>Manchester</v>
      </c>
    </row>
    <row r="8" spans="1:13" x14ac:dyDescent="0.35">
      <c r="A8" s="25" t="s">
        <v>63</v>
      </c>
      <c r="B8" s="25" t="s">
        <v>64</v>
      </c>
      <c r="C8" s="24">
        <v>95800</v>
      </c>
      <c r="E8" s="12">
        <f ca="1">IF(COUNTIFS(B$5:B7,B8)&gt;0,0,MAX(E$5:E7)+1)</f>
        <v>3</v>
      </c>
      <c r="G8" s="24">
        <v>3</v>
      </c>
      <c r="H8" s="12" t="str">
        <f t="shared" ca="1" si="1"/>
        <v>Birmingham</v>
      </c>
      <c r="J8" s="12" t="str">
        <v>Birmingham</v>
      </c>
    </row>
    <row r="9" spans="1:13" x14ac:dyDescent="0.35">
      <c r="A9" s="25" t="s">
        <v>65</v>
      </c>
      <c r="B9" s="25" t="s">
        <v>60</v>
      </c>
      <c r="C9" s="24">
        <v>72800</v>
      </c>
      <c r="E9" s="12">
        <f>IF(COUNTIFS(B$5:B8,B9)&gt;0,0,MAX(E$5:E8)+1)</f>
        <v>0</v>
      </c>
      <c r="G9" s="24">
        <v>4</v>
      </c>
      <c r="H9" s="12" t="str">
        <f t="shared" ca="1" si="1"/>
        <v>Bristol</v>
      </c>
      <c r="J9" s="12" t="str">
        <v>Bristol</v>
      </c>
    </row>
    <row r="10" spans="1:13" x14ac:dyDescent="0.35">
      <c r="A10" s="25" t="s">
        <v>66</v>
      </c>
      <c r="B10" s="25" t="s">
        <v>67</v>
      </c>
      <c r="C10" s="24">
        <v>55400</v>
      </c>
      <c r="E10" s="12">
        <f ca="1">IF(COUNTIFS(B$5:B9,B10)&gt;0,0,MAX(E$5:E9)+1)</f>
        <v>4</v>
      </c>
      <c r="G10" s="24">
        <v>5</v>
      </c>
      <c r="H10" s="12" t="str">
        <f t="shared" ca="1" si="1"/>
        <v>Leeds</v>
      </c>
      <c r="J10" s="12" t="str">
        <v>Leeds</v>
      </c>
    </row>
    <row r="11" spans="1:13" x14ac:dyDescent="0.35">
      <c r="A11" s="25" t="s">
        <v>68</v>
      </c>
      <c r="B11" s="25" t="s">
        <v>69</v>
      </c>
      <c r="C11" s="24">
        <v>68950</v>
      </c>
      <c r="E11" s="12">
        <f ca="1">IF(COUNTIFS(B$5:B10,B11)&gt;0,0,MAX(E$5:E10)+1)</f>
        <v>5</v>
      </c>
      <c r="G11" s="24">
        <v>6</v>
      </c>
      <c r="H11" s="12" t="e">
        <f t="shared" ca="1" si="1"/>
        <v>#N/A</v>
      </c>
      <c r="L11"/>
    </row>
    <row r="12" spans="1:13" x14ac:dyDescent="0.35">
      <c r="A12" s="25" t="s">
        <v>70</v>
      </c>
      <c r="B12" s="25" t="s">
        <v>60</v>
      </c>
      <c r="C12" s="24">
        <v>102300</v>
      </c>
      <c r="E12" s="12">
        <f>IF(COUNTIFS(B$5:B11,B12)&gt;0,0,MAX(E$5:E11)+1)</f>
        <v>0</v>
      </c>
      <c r="G12" s="24">
        <v>7</v>
      </c>
      <c r="H12" s="12" t="e">
        <f t="shared" ca="1" si="1"/>
        <v>#N/A</v>
      </c>
      <c r="L12"/>
    </row>
    <row r="13" spans="1:13" x14ac:dyDescent="0.35">
      <c r="A13" s="25" t="s">
        <v>71</v>
      </c>
      <c r="B13" s="25" t="s">
        <v>62</v>
      </c>
      <c r="C13" s="24">
        <v>47750</v>
      </c>
      <c r="E13" s="12">
        <f>IF(COUNTIFS(B$5:B12,B13)&gt;0,0,MAX(E$5:E12)+1)</f>
        <v>0</v>
      </c>
      <c r="G13" s="24">
        <v>8</v>
      </c>
      <c r="H13" s="12" t="e">
        <f t="shared" ca="1" si="1"/>
        <v>#N/A</v>
      </c>
      <c r="L13"/>
    </row>
    <row r="14" spans="1:13" x14ac:dyDescent="0.35">
      <c r="A14" s="25" t="s">
        <v>72</v>
      </c>
      <c r="B14" s="25" t="s">
        <v>64</v>
      </c>
      <c r="C14" s="24">
        <v>83600</v>
      </c>
      <c r="E14" s="12">
        <f>IF(COUNTIFS(B$5:B13,B14)&gt;0,0,MAX(E$5:E13)+1)</f>
        <v>0</v>
      </c>
      <c r="G14" s="24">
        <v>9</v>
      </c>
      <c r="H14" s="12" t="e">
        <f t="shared" ca="1" si="1"/>
        <v>#N/A</v>
      </c>
      <c r="L14"/>
    </row>
    <row r="15" spans="1:13" x14ac:dyDescent="0.35">
      <c r="A15" s="25" t="s">
        <v>73</v>
      </c>
      <c r="B15" s="25" t="s">
        <v>67</v>
      </c>
      <c r="C15" s="24">
        <v>59100</v>
      </c>
      <c r="E15" s="12">
        <f>IF(COUNTIFS(B$5:B14,B15)&gt;0,0,MAX(E$5:E14)+1)</f>
        <v>0</v>
      </c>
      <c r="G15" s="24">
        <v>10</v>
      </c>
      <c r="H15" s="12" t="e">
        <f t="shared" ca="1" si="1"/>
        <v>#N/A</v>
      </c>
      <c r="L15"/>
    </row>
    <row r="16" spans="1:13" x14ac:dyDescent="0.35">
      <c r="A16" s="25" t="s">
        <v>74</v>
      </c>
      <c r="B16" s="25" t="s">
        <v>69</v>
      </c>
      <c r="C16" s="24">
        <v>74850</v>
      </c>
      <c r="E16" s="12">
        <f>IF(COUNTIFS(B$5:B15,B16)&gt;0,0,MAX(E$5:E15)+1)</f>
        <v>0</v>
      </c>
      <c r="G16" s="24">
        <v>11</v>
      </c>
      <c r="H16" s="12" t="e">
        <f t="shared" ca="1" si="1"/>
        <v>#N/A</v>
      </c>
      <c r="L16"/>
    </row>
    <row r="17" spans="1:12" x14ac:dyDescent="0.35">
      <c r="A17" s="25" t="s">
        <v>75</v>
      </c>
      <c r="B17" s="25" t="s">
        <v>60</v>
      </c>
      <c r="C17" s="24">
        <v>66400</v>
      </c>
      <c r="E17" s="12">
        <f>IF(COUNTIFS(B$5:B16,B17)&gt;0,0,MAX(E$5:E16)+1)</f>
        <v>0</v>
      </c>
      <c r="G17" s="24">
        <v>12</v>
      </c>
      <c r="H17" s="12" t="e">
        <f t="shared" ca="1" si="1"/>
        <v>#N/A</v>
      </c>
      <c r="L17"/>
    </row>
    <row r="18" spans="1:12" x14ac:dyDescent="0.35">
      <c r="A18" s="25" t="s">
        <v>76</v>
      </c>
      <c r="B18" s="25" t="s">
        <v>62</v>
      </c>
      <c r="C18" s="24">
        <v>80500</v>
      </c>
      <c r="E18" s="12">
        <f>IF(COUNTIFS(B$5:B17,B18)&gt;0,0,MAX(E$5:E17)+1)</f>
        <v>0</v>
      </c>
      <c r="L18"/>
    </row>
    <row r="19" spans="1:12" x14ac:dyDescent="0.35">
      <c r="A19" s="25" t="s">
        <v>77</v>
      </c>
      <c r="B19" s="25" t="s">
        <v>64</v>
      </c>
      <c r="C19" s="24">
        <v>72250</v>
      </c>
      <c r="E19" s="12">
        <f>IF(COUNTIFS(B$5:B18,B19)&gt;0,0,MAX(E$5:E18)+1)</f>
        <v>0</v>
      </c>
      <c r="L19"/>
    </row>
    <row r="20" spans="1:12" x14ac:dyDescent="0.35">
      <c r="A20" s="25" t="s">
        <v>78</v>
      </c>
      <c r="B20" s="25" t="s">
        <v>67</v>
      </c>
      <c r="C20" s="24">
        <v>95800</v>
      </c>
      <c r="E20" s="12">
        <f>IF(COUNTIFS(B$5:B19,B20)&gt;0,0,MAX(E$5:E19)+1)</f>
        <v>0</v>
      </c>
      <c r="L20"/>
    </row>
    <row r="21" spans="1:12" x14ac:dyDescent="0.35">
      <c r="A21" s="25" t="s">
        <v>79</v>
      </c>
      <c r="B21" s="25" t="s">
        <v>69</v>
      </c>
      <c r="C21" s="24">
        <v>61200</v>
      </c>
      <c r="E21" s="12">
        <f>IF(COUNTIFS(B$5:B20,B21)&gt;0,0,MAX(E$5:E20)+1)</f>
        <v>0</v>
      </c>
      <c r="L21"/>
    </row>
    <row r="22" spans="1:12" x14ac:dyDescent="0.35">
      <c r="A22" s="25" t="s">
        <v>80</v>
      </c>
      <c r="B22" s="25" t="s">
        <v>60</v>
      </c>
      <c r="C22" s="24">
        <v>88750</v>
      </c>
      <c r="E22" s="12">
        <f>IF(COUNTIFS(B$5:B21,B22)&gt;0,0,MAX(E$5:E21)+1)</f>
        <v>0</v>
      </c>
      <c r="L22"/>
    </row>
    <row r="23" spans="1:12" x14ac:dyDescent="0.35">
      <c r="A23" s="25" t="s">
        <v>81</v>
      </c>
      <c r="B23" s="25" t="s">
        <v>62</v>
      </c>
      <c r="C23" s="24">
        <v>53900</v>
      </c>
      <c r="E23" s="12">
        <f>IF(COUNTIFS(B$5:B22,B23)&gt;0,0,MAX(E$5:E22)+1)</f>
        <v>0</v>
      </c>
      <c r="L23"/>
    </row>
    <row r="24" spans="1:12" x14ac:dyDescent="0.35">
      <c r="A24" s="25" t="s">
        <v>82</v>
      </c>
      <c r="B24" s="25" t="s">
        <v>64</v>
      </c>
      <c r="C24" s="24">
        <v>78150</v>
      </c>
      <c r="E24" s="12">
        <f>IF(COUNTIFS(B$5:B23,B24)&gt;0,0,MAX(E$5:E23)+1)</f>
        <v>0</v>
      </c>
      <c r="L24"/>
    </row>
    <row r="25" spans="1:12" x14ac:dyDescent="0.35">
      <c r="A25" s="25" t="s">
        <v>83</v>
      </c>
      <c r="B25" s="25" t="s">
        <v>67</v>
      </c>
      <c r="C25" s="24">
        <v>84500</v>
      </c>
      <c r="E25" s="12">
        <f>IF(COUNTIFS(B$5:B24,B25)&gt;0,0,MAX(E$5:E24)+1)</f>
        <v>0</v>
      </c>
    </row>
    <row r="27" spans="1:12" ht="57.65" customHeight="1" x14ac:dyDescent="0.35">
      <c r="C27" s="13" t="s">
        <v>189</v>
      </c>
      <c r="E27" s="66" t="s">
        <v>111</v>
      </c>
      <c r="F27" s="66"/>
      <c r="G27" s="66"/>
      <c r="H27" s="66"/>
    </row>
    <row r="28" spans="1:12" ht="48.5" customHeight="1" x14ac:dyDescent="0.35">
      <c r="C28" s="13" t="s">
        <v>24</v>
      </c>
      <c r="E28" s="66" t="s">
        <v>109</v>
      </c>
      <c r="F28" s="66"/>
      <c r="G28" s="66"/>
      <c r="H28" s="66"/>
    </row>
    <row r="29" spans="1:12" ht="53.4" customHeight="1" x14ac:dyDescent="0.35">
      <c r="C29" s="27" t="s">
        <v>190</v>
      </c>
      <c r="J29" s="12" t="s">
        <v>110</v>
      </c>
    </row>
  </sheetData>
  <mergeCells count="2">
    <mergeCell ref="E27:H27"/>
    <mergeCell ref="E28:H2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648BE-14A1-4860-A3D3-528616D69E63}">
  <sheetPr codeName="Sheet5"/>
  <dimension ref="A1:P29"/>
  <sheetViews>
    <sheetView zoomScale="130" zoomScaleNormal="130" workbookViewId="0">
      <pane xSplit="4" ySplit="1" topLeftCell="E2" activePane="bottomRight" state="frozen"/>
      <selection pane="topRight" activeCell="E1" sqref="E1"/>
      <selection pane="bottomLeft" activeCell="A2" sqref="A2"/>
      <selection pane="bottomRight" activeCell="E2" sqref="E2"/>
    </sheetView>
  </sheetViews>
  <sheetFormatPr defaultColWidth="8.90625" defaultRowHeight="14.5" x14ac:dyDescent="0.35"/>
  <cols>
    <col min="1" max="3" width="16.453125" style="12" customWidth="1"/>
    <col min="4" max="4" width="1.90625" style="12" customWidth="1"/>
    <col min="5" max="5" width="8.90625" style="12"/>
    <col min="6" max="6" width="15.6328125" style="12" customWidth="1"/>
    <col min="7" max="8" width="8.90625" style="12"/>
    <col min="9" max="11" width="16.6328125" style="12" customWidth="1"/>
    <col min="12" max="12" width="1.90625" style="12" customWidth="1"/>
    <col min="13" max="13" width="8.90625" style="12"/>
    <col min="14" max="14" width="13.453125" style="12" bestFit="1" customWidth="1"/>
    <col min="15" max="15" width="7.08984375" style="12" bestFit="1" customWidth="1"/>
    <col min="16" max="16" width="8.453125" style="12" bestFit="1" customWidth="1"/>
    <col min="17" max="16384" width="8.90625" style="12"/>
  </cols>
  <sheetData>
    <row r="1" spans="1:16" s="19" customFormat="1" ht="21" x14ac:dyDescent="0.35">
      <c r="A1" s="19" t="s">
        <v>103</v>
      </c>
    </row>
    <row r="2" spans="1:16" s="4" customFormat="1" ht="17" x14ac:dyDescent="0.35">
      <c r="A2" s="4" t="s">
        <v>114</v>
      </c>
    </row>
    <row r="3" spans="1:16" ht="16" x14ac:dyDescent="0.35">
      <c r="A3" s="6" t="s">
        <v>13</v>
      </c>
      <c r="B3" s="6"/>
      <c r="C3" s="6"/>
      <c r="E3" s="6" t="s">
        <v>106</v>
      </c>
      <c r="F3" s="6"/>
      <c r="G3" s="6"/>
      <c r="H3" s="6"/>
      <c r="I3" s="6"/>
      <c r="J3" s="6"/>
      <c r="K3" s="6"/>
      <c r="M3" s="6" t="s">
        <v>107</v>
      </c>
      <c r="N3" s="6"/>
      <c r="O3" s="6"/>
      <c r="P3" s="6"/>
    </row>
    <row r="4" spans="1:16" s="21" customFormat="1" x14ac:dyDescent="0.35">
      <c r="A4" s="21" t="s">
        <v>56</v>
      </c>
      <c r="B4" s="21" t="s">
        <v>57</v>
      </c>
      <c r="C4" s="21" t="s">
        <v>58</v>
      </c>
      <c r="F4" s="21" t="s">
        <v>104</v>
      </c>
      <c r="H4" s="21" t="s">
        <v>105</v>
      </c>
      <c r="I4" s="21" t="s">
        <v>56</v>
      </c>
      <c r="J4" s="21" t="s">
        <v>57</v>
      </c>
      <c r="K4" s="21" t="s">
        <v>58</v>
      </c>
      <c r="N4" s="21" t="s">
        <v>56</v>
      </c>
      <c r="O4" s="21" t="s">
        <v>57</v>
      </c>
      <c r="P4" s="21" t="s">
        <v>58</v>
      </c>
    </row>
    <row r="5" spans="1:16" s="10" customFormat="1" ht="29" x14ac:dyDescent="0.35">
      <c r="E5" s="3" t="s">
        <v>60</v>
      </c>
      <c r="F5" s="11" t="str">
        <f ca="1">_xlfn.FORMULATEXT(F6)</f>
        <v>=IF(B6=E$5,MAX(F$5:F5)+1,0)</v>
      </c>
      <c r="I5" s="11" t="str">
        <f t="shared" ref="I5:K5" ca="1" si="0">_xlfn.FORMULATEXT(I6)</f>
        <v>=INDEX(A:A,MATCH($H6,$F:$F,0))</v>
      </c>
      <c r="J5" s="11" t="str">
        <f t="shared" ca="1" si="0"/>
        <v>=INDEX(B:B,MATCH($H6,$F:$F,0))</v>
      </c>
      <c r="K5" s="11" t="str">
        <f t="shared" ca="1" si="0"/>
        <v>=INDEX(C:C,MATCH($H6,$F:$F,0))</v>
      </c>
      <c r="M5" s="3" t="s">
        <v>60</v>
      </c>
      <c r="N5" s="14" t="str">
        <f t="shared" ref="N5" ca="1" si="1">_xlfn.FORMULATEXT(N6)</f>
        <v>=FILTER(A6:C25,B6:B25=M5)</v>
      </c>
    </row>
    <row r="6" spans="1:16" x14ac:dyDescent="0.35">
      <c r="A6" s="25" t="s">
        <v>59</v>
      </c>
      <c r="B6" s="25" t="s">
        <v>60</v>
      </c>
      <c r="C6" s="24">
        <v>84250</v>
      </c>
      <c r="F6" s="12">
        <f ca="1">IF(B6=E$5,MAX(F$5:F5)+1,0)</f>
        <v>1</v>
      </c>
      <c r="H6" s="24">
        <v>1</v>
      </c>
      <c r="I6" s="12" t="str">
        <f ca="1">INDEX(A:A,MATCH($H6,$F:$F,0))</f>
        <v>James Carter</v>
      </c>
      <c r="J6" s="12" t="str">
        <f t="shared" ref="J6:K6" ca="1" si="2">INDEX(B:B,MATCH($H6,$F:$F,0))</f>
        <v>London</v>
      </c>
      <c r="K6" s="12">
        <f t="shared" ca="1" si="2"/>
        <v>84250</v>
      </c>
      <c r="N6" s="12" t="str" cm="1">
        <f t="array" ref="N6:P10">_xlfn._xlws.FILTER(A6:C25,B6:B25=M5)</f>
        <v>James Carter</v>
      </c>
      <c r="O6" s="12" t="str">
        <v>London</v>
      </c>
      <c r="P6" s="12">
        <v>84250</v>
      </c>
    </row>
    <row r="7" spans="1:16" x14ac:dyDescent="0.35">
      <c r="A7" s="25" t="s">
        <v>61</v>
      </c>
      <c r="B7" s="25" t="s">
        <v>62</v>
      </c>
      <c r="C7" s="24">
        <v>67300</v>
      </c>
      <c r="F7" s="12">
        <f>IF(B7=E$5,MAX(F$5:F6)+1,0)</f>
        <v>0</v>
      </c>
      <c r="H7" s="24">
        <v>2</v>
      </c>
      <c r="I7" s="12" t="str">
        <f t="shared" ref="I7:I10" ca="1" si="3">INDEX(A:A,MATCH($H7,$F:$F,0))</f>
        <v>Sophia Patel</v>
      </c>
      <c r="J7" s="12" t="str">
        <f t="shared" ref="J7:J10" ca="1" si="4">INDEX(B:B,MATCH($H7,$F:$F,0))</f>
        <v>London</v>
      </c>
      <c r="K7" s="12">
        <f t="shared" ref="K7:K10" ca="1" si="5">INDEX(C:C,MATCH($H7,$F:$F,0))</f>
        <v>72800</v>
      </c>
      <c r="N7" s="12" t="str">
        <v>Sophia Patel</v>
      </c>
      <c r="O7" s="12" t="str">
        <v>London</v>
      </c>
      <c r="P7" s="12">
        <v>72800</v>
      </c>
    </row>
    <row r="8" spans="1:16" x14ac:dyDescent="0.35">
      <c r="A8" s="25" t="s">
        <v>63</v>
      </c>
      <c r="B8" s="25" t="s">
        <v>64</v>
      </c>
      <c r="C8" s="24">
        <v>95800</v>
      </c>
      <c r="F8" s="12">
        <f>IF(B8=E$5,MAX(F$5:F7)+1,0)</f>
        <v>0</v>
      </c>
      <c r="H8" s="24">
        <v>3</v>
      </c>
      <c r="I8" s="12" t="str">
        <f t="shared" ca="1" si="3"/>
        <v>Jack Turner</v>
      </c>
      <c r="J8" s="12" t="str">
        <f t="shared" ca="1" si="4"/>
        <v>London</v>
      </c>
      <c r="K8" s="12">
        <f t="shared" ca="1" si="5"/>
        <v>102300</v>
      </c>
      <c r="N8" s="12" t="str">
        <v>Jack Turner</v>
      </c>
      <c r="O8" s="12" t="str">
        <v>London</v>
      </c>
      <c r="P8" s="12">
        <v>102300</v>
      </c>
    </row>
    <row r="9" spans="1:16" x14ac:dyDescent="0.35">
      <c r="A9" s="25" t="s">
        <v>65</v>
      </c>
      <c r="B9" s="25" t="s">
        <v>60</v>
      </c>
      <c r="C9" s="24">
        <v>72800</v>
      </c>
      <c r="F9" s="12">
        <f ca="1">IF(B9=E$5,MAX(F$5:F8)+1,0)</f>
        <v>2</v>
      </c>
      <c r="H9" s="24">
        <v>4</v>
      </c>
      <c r="I9" s="12" t="str">
        <f t="shared" ca="1" si="3"/>
        <v>Ava Richardson</v>
      </c>
      <c r="J9" s="12" t="str">
        <f t="shared" ca="1" si="4"/>
        <v>London</v>
      </c>
      <c r="K9" s="12">
        <f t="shared" ca="1" si="5"/>
        <v>66400</v>
      </c>
      <c r="N9" s="12" t="str">
        <v>Ava Richardson</v>
      </c>
      <c r="O9" s="12" t="str">
        <v>London</v>
      </c>
      <c r="P9" s="12">
        <v>66400</v>
      </c>
    </row>
    <row r="10" spans="1:16" x14ac:dyDescent="0.35">
      <c r="A10" s="25" t="s">
        <v>66</v>
      </c>
      <c r="B10" s="25" t="s">
        <v>67</v>
      </c>
      <c r="C10" s="24">
        <v>55400</v>
      </c>
      <c r="F10" s="12">
        <f>IF(B10=E$5,MAX(F$5:F9)+1,0)</f>
        <v>0</v>
      </c>
      <c r="H10" s="24">
        <v>5</v>
      </c>
      <c r="I10" s="12" t="str">
        <f t="shared" ca="1" si="3"/>
        <v>Oscar Reed</v>
      </c>
      <c r="J10" s="12" t="str">
        <f t="shared" ca="1" si="4"/>
        <v>London</v>
      </c>
      <c r="K10" s="12">
        <f t="shared" ca="1" si="5"/>
        <v>88750</v>
      </c>
      <c r="N10" s="12" t="str">
        <v>Oscar Reed</v>
      </c>
      <c r="O10" s="12" t="str">
        <v>London</v>
      </c>
      <c r="P10" s="12">
        <v>88750</v>
      </c>
    </row>
    <row r="11" spans="1:16" x14ac:dyDescent="0.35">
      <c r="A11" s="25" t="s">
        <v>68</v>
      </c>
      <c r="B11" s="25" t="s">
        <v>69</v>
      </c>
      <c r="C11" s="24">
        <v>68950</v>
      </c>
      <c r="F11" s="12">
        <f>IF(B11=E$5,MAX(F$5:F10)+1,0)</f>
        <v>0</v>
      </c>
      <c r="H11" s="24">
        <v>6</v>
      </c>
      <c r="I11" s="12" t="e">
        <f t="shared" ref="I11:I14" ca="1" si="6">INDEX(A:A,MATCH($H11,$F:$F,0))</f>
        <v>#N/A</v>
      </c>
      <c r="J11" s="12" t="e">
        <f t="shared" ref="J11:J14" ca="1" si="7">INDEX(B:B,MATCH($H11,$F:$F,0))</f>
        <v>#N/A</v>
      </c>
      <c r="K11" s="12" t="e">
        <f t="shared" ref="K11:K14" ca="1" si="8">INDEX(C:C,MATCH($H11,$F:$F,0))</f>
        <v>#N/A</v>
      </c>
    </row>
    <row r="12" spans="1:16" x14ac:dyDescent="0.35">
      <c r="A12" s="25" t="s">
        <v>70</v>
      </c>
      <c r="B12" s="25" t="s">
        <v>60</v>
      </c>
      <c r="C12" s="24">
        <v>102300</v>
      </c>
      <c r="F12" s="12">
        <f ca="1">IF(B12=E$5,MAX(F$5:F11)+1,0)</f>
        <v>3</v>
      </c>
      <c r="H12" s="24">
        <v>7</v>
      </c>
      <c r="I12" s="12" t="e">
        <f t="shared" ca="1" si="6"/>
        <v>#N/A</v>
      </c>
      <c r="J12" s="12" t="e">
        <f t="shared" ca="1" si="7"/>
        <v>#N/A</v>
      </c>
      <c r="K12" s="12" t="e">
        <f t="shared" ca="1" si="8"/>
        <v>#N/A</v>
      </c>
    </row>
    <row r="13" spans="1:16" x14ac:dyDescent="0.35">
      <c r="A13" s="25" t="s">
        <v>71</v>
      </c>
      <c r="B13" s="25" t="s">
        <v>62</v>
      </c>
      <c r="C13" s="24">
        <v>47750</v>
      </c>
      <c r="F13" s="12">
        <f>IF(B13=E$5,MAX(F$5:F12)+1,0)</f>
        <v>0</v>
      </c>
      <c r="H13" s="24">
        <v>8</v>
      </c>
      <c r="I13" s="12" t="e">
        <f t="shared" ca="1" si="6"/>
        <v>#N/A</v>
      </c>
      <c r="J13" s="12" t="e">
        <f t="shared" ca="1" si="7"/>
        <v>#N/A</v>
      </c>
      <c r="K13" s="12" t="e">
        <f t="shared" ca="1" si="8"/>
        <v>#N/A</v>
      </c>
    </row>
    <row r="14" spans="1:16" x14ac:dyDescent="0.35">
      <c r="A14" s="25" t="s">
        <v>72</v>
      </c>
      <c r="B14" s="25" t="s">
        <v>64</v>
      </c>
      <c r="C14" s="24">
        <v>83600</v>
      </c>
      <c r="F14" s="12">
        <f>IF(B14=E$5,MAX(F$5:F13)+1,0)</f>
        <v>0</v>
      </c>
      <c r="H14" s="24">
        <v>9</v>
      </c>
      <c r="I14" s="12" t="e">
        <f t="shared" ca="1" si="6"/>
        <v>#N/A</v>
      </c>
      <c r="J14" s="12" t="e">
        <f t="shared" ca="1" si="7"/>
        <v>#N/A</v>
      </c>
      <c r="K14" s="12" t="e">
        <f t="shared" ca="1" si="8"/>
        <v>#N/A</v>
      </c>
    </row>
    <row r="15" spans="1:16" x14ac:dyDescent="0.35">
      <c r="A15" s="25" t="s">
        <v>73</v>
      </c>
      <c r="B15" s="25" t="s">
        <v>67</v>
      </c>
      <c r="C15" s="24">
        <v>59100</v>
      </c>
      <c r="F15" s="12">
        <f>IF(B15=E$5,MAX(F$5:F14)+1,0)</f>
        <v>0</v>
      </c>
      <c r="H15" s="24">
        <v>10</v>
      </c>
      <c r="I15" s="12" t="e">
        <f t="shared" ref="I15:I17" ca="1" si="9">INDEX(A:A,MATCH($H15,$F:$F,0))</f>
        <v>#N/A</v>
      </c>
      <c r="J15" s="12" t="e">
        <f t="shared" ref="J15:J17" ca="1" si="10">INDEX(B:B,MATCH($H15,$F:$F,0))</f>
        <v>#N/A</v>
      </c>
      <c r="K15" s="12" t="e">
        <f t="shared" ref="K15:K17" ca="1" si="11">INDEX(C:C,MATCH($H15,$F:$F,0))</f>
        <v>#N/A</v>
      </c>
    </row>
    <row r="16" spans="1:16" x14ac:dyDescent="0.35">
      <c r="A16" s="25" t="s">
        <v>74</v>
      </c>
      <c r="B16" s="25" t="s">
        <v>69</v>
      </c>
      <c r="C16" s="24">
        <v>74850</v>
      </c>
      <c r="F16" s="12">
        <f>IF(B16=E$5,MAX(F$5:F15)+1,0)</f>
        <v>0</v>
      </c>
      <c r="H16" s="24">
        <v>11</v>
      </c>
      <c r="I16" s="12" t="e">
        <f t="shared" ca="1" si="9"/>
        <v>#N/A</v>
      </c>
      <c r="J16" s="12" t="e">
        <f t="shared" ca="1" si="10"/>
        <v>#N/A</v>
      </c>
      <c r="K16" s="12" t="e">
        <f t="shared" ca="1" si="11"/>
        <v>#N/A</v>
      </c>
    </row>
    <row r="17" spans="1:13" x14ac:dyDescent="0.35">
      <c r="A17" s="25" t="s">
        <v>75</v>
      </c>
      <c r="B17" s="25" t="s">
        <v>60</v>
      </c>
      <c r="C17" s="24">
        <v>66400</v>
      </c>
      <c r="F17" s="12">
        <f ca="1">IF(B17=E$5,MAX(F$5:F16)+1,0)</f>
        <v>4</v>
      </c>
      <c r="H17" s="24">
        <v>12</v>
      </c>
      <c r="I17" s="12" t="e">
        <f t="shared" ca="1" si="9"/>
        <v>#N/A</v>
      </c>
      <c r="J17" s="12" t="e">
        <f t="shared" ca="1" si="10"/>
        <v>#N/A</v>
      </c>
      <c r="K17" s="12" t="e">
        <f t="shared" ca="1" si="11"/>
        <v>#N/A</v>
      </c>
    </row>
    <row r="18" spans="1:13" x14ac:dyDescent="0.35">
      <c r="A18" s="25" t="s">
        <v>76</v>
      </c>
      <c r="B18" s="25" t="s">
        <v>62</v>
      </c>
      <c r="C18" s="24">
        <v>80500</v>
      </c>
      <c r="F18" s="12">
        <f>IF(B18=E$5,MAX(F$5:F17)+1,0)</f>
        <v>0</v>
      </c>
    </row>
    <row r="19" spans="1:13" x14ac:dyDescent="0.35">
      <c r="A19" s="25" t="s">
        <v>77</v>
      </c>
      <c r="B19" s="25" t="s">
        <v>64</v>
      </c>
      <c r="C19" s="24">
        <v>72250</v>
      </c>
      <c r="F19" s="12">
        <f>IF(B19=E$5,MAX(F$5:F18)+1,0)</f>
        <v>0</v>
      </c>
    </row>
    <row r="20" spans="1:13" x14ac:dyDescent="0.35">
      <c r="A20" s="25" t="s">
        <v>78</v>
      </c>
      <c r="B20" s="25" t="s">
        <v>67</v>
      </c>
      <c r="C20" s="24">
        <v>95800</v>
      </c>
      <c r="F20" s="12">
        <f>IF(B20=E$5,MAX(F$5:F19)+1,0)</f>
        <v>0</v>
      </c>
    </row>
    <row r="21" spans="1:13" x14ac:dyDescent="0.35">
      <c r="A21" s="25" t="s">
        <v>79</v>
      </c>
      <c r="B21" s="25" t="s">
        <v>69</v>
      </c>
      <c r="C21" s="24">
        <v>61200</v>
      </c>
      <c r="F21" s="12">
        <f>IF(B21=E$5,MAX(F$5:F20)+1,0)</f>
        <v>0</v>
      </c>
    </row>
    <row r="22" spans="1:13" x14ac:dyDescent="0.35">
      <c r="A22" s="25" t="s">
        <v>80</v>
      </c>
      <c r="B22" s="25" t="s">
        <v>60</v>
      </c>
      <c r="C22" s="24">
        <v>88750</v>
      </c>
      <c r="F22" s="12">
        <f ca="1">IF(B22=E$5,MAX(F$5:F21)+1,0)</f>
        <v>5</v>
      </c>
    </row>
    <row r="23" spans="1:13" x14ac:dyDescent="0.35">
      <c r="A23" s="25" t="s">
        <v>81</v>
      </c>
      <c r="B23" s="25" t="s">
        <v>62</v>
      </c>
      <c r="C23" s="24">
        <v>53900</v>
      </c>
      <c r="F23" s="12">
        <f>IF(B23=E$5,MAX(F$5:F22)+1,0)</f>
        <v>0</v>
      </c>
    </row>
    <row r="24" spans="1:13" x14ac:dyDescent="0.35">
      <c r="A24" s="25" t="s">
        <v>82</v>
      </c>
      <c r="B24" s="25" t="s">
        <v>64</v>
      </c>
      <c r="C24" s="24">
        <v>78150</v>
      </c>
      <c r="F24" s="12">
        <f>IF(B24=E$5,MAX(F$5:F23)+1,0)</f>
        <v>0</v>
      </c>
    </row>
    <row r="25" spans="1:13" x14ac:dyDescent="0.35">
      <c r="A25" s="25" t="s">
        <v>83</v>
      </c>
      <c r="B25" s="25" t="s">
        <v>67</v>
      </c>
      <c r="C25" s="24">
        <v>84500</v>
      </c>
      <c r="F25" s="12">
        <f>IF(B25=E$5,MAX(F$5:F24)+1,0)</f>
        <v>0</v>
      </c>
    </row>
    <row r="27" spans="1:13" ht="57.65" customHeight="1" x14ac:dyDescent="0.35">
      <c r="C27" s="13" t="s">
        <v>189</v>
      </c>
      <c r="E27" s="66" t="s">
        <v>108</v>
      </c>
      <c r="F27" s="66"/>
      <c r="G27" s="66"/>
      <c r="H27" s="66"/>
      <c r="I27" s="66"/>
      <c r="J27" s="66"/>
      <c r="K27" s="66"/>
    </row>
    <row r="28" spans="1:13" ht="45" customHeight="1" x14ac:dyDescent="0.35">
      <c r="C28" s="13" t="s">
        <v>24</v>
      </c>
      <c r="E28" s="66" t="s">
        <v>109</v>
      </c>
      <c r="F28" s="66"/>
      <c r="G28" s="66"/>
      <c r="H28" s="66"/>
      <c r="I28" s="66"/>
      <c r="J28" s="66"/>
      <c r="K28" s="66"/>
    </row>
    <row r="29" spans="1:13" ht="53.4" customHeight="1" x14ac:dyDescent="0.35">
      <c r="C29" s="27" t="s">
        <v>190</v>
      </c>
      <c r="M29" s="12" t="s">
        <v>110</v>
      </c>
    </row>
  </sheetData>
  <mergeCells count="2">
    <mergeCell ref="E27:K27"/>
    <mergeCell ref="E28:K2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B2A23-B449-48DD-9DF9-45D395F4EA33}">
  <sheetPr codeName="Sheet3"/>
  <dimension ref="A1:AM29"/>
  <sheetViews>
    <sheetView zoomScale="130" zoomScaleNormal="130" workbookViewId="0">
      <pane xSplit="4" ySplit="1" topLeftCell="E2" activePane="bottomRight" state="frozen"/>
      <selection pane="topRight" activeCell="E1" sqref="E1"/>
      <selection pane="bottomLeft" activeCell="A2" sqref="A2"/>
      <selection pane="bottomRight" activeCell="E2" sqref="E2"/>
    </sheetView>
  </sheetViews>
  <sheetFormatPr defaultColWidth="8.90625" defaultRowHeight="14.5" x14ac:dyDescent="0.35"/>
  <cols>
    <col min="1" max="3" width="16.453125" style="12" customWidth="1"/>
    <col min="4" max="4" width="1.90625" style="12" customWidth="1"/>
    <col min="5" max="5" width="13" style="12" customWidth="1"/>
    <col min="6" max="6" width="17.6328125" style="12" customWidth="1"/>
    <col min="7" max="7" width="1.90625" style="12" customWidth="1"/>
    <col min="8" max="8" width="13" style="12" customWidth="1"/>
    <col min="9" max="11" width="17.6328125" style="12" customWidth="1"/>
    <col min="12" max="12" width="1.90625" style="12" customWidth="1"/>
    <col min="13" max="13" width="29.453125" style="12" customWidth="1"/>
    <col min="14" max="14" width="1.90625" style="12" customWidth="1"/>
    <col min="15" max="15" width="13" style="12" customWidth="1"/>
    <col min="16" max="18" width="17.6328125" style="12" customWidth="1"/>
    <col min="19" max="19" width="1.90625" style="12" customWidth="1"/>
    <col min="20" max="20" width="29.453125" style="12" customWidth="1"/>
    <col min="21" max="21" width="1.90625" style="12" customWidth="1"/>
    <col min="22" max="22" width="13" style="12" customWidth="1"/>
    <col min="23" max="25" width="17.6328125" style="12" customWidth="1"/>
    <col min="26" max="26" width="1.90625" style="12" customWidth="1"/>
    <col min="27" max="27" width="8.90625" style="12"/>
    <col min="28" max="29" width="17" style="12" customWidth="1"/>
    <col min="30" max="30" width="17" style="18" customWidth="1"/>
    <col min="31" max="16384" width="8.90625" style="12"/>
  </cols>
  <sheetData>
    <row r="1" spans="1:39" s="19" customFormat="1" ht="21" x14ac:dyDescent="0.35">
      <c r="A1" s="19" t="s">
        <v>55</v>
      </c>
      <c r="AD1" s="20"/>
    </row>
    <row r="2" spans="1:39" s="4" customFormat="1" ht="17" x14ac:dyDescent="0.35">
      <c r="A2" s="4" t="s">
        <v>85</v>
      </c>
      <c r="AD2" s="15"/>
    </row>
    <row r="3" spans="1:39" ht="16" x14ac:dyDescent="0.35">
      <c r="A3" s="6" t="s">
        <v>13</v>
      </c>
      <c r="B3" s="6"/>
      <c r="C3" s="6"/>
      <c r="E3" s="6" t="s">
        <v>84</v>
      </c>
      <c r="F3" s="6"/>
      <c r="H3" s="6" t="s">
        <v>92</v>
      </c>
      <c r="I3" s="6"/>
      <c r="J3" s="6"/>
      <c r="K3" s="6"/>
      <c r="M3" s="6" t="s">
        <v>99</v>
      </c>
      <c r="N3" s="6"/>
      <c r="O3" s="6"/>
      <c r="P3" s="6"/>
      <c r="Q3" s="6"/>
      <c r="R3" s="6"/>
      <c r="T3" s="6" t="s">
        <v>100</v>
      </c>
      <c r="U3" s="6"/>
      <c r="V3" s="6"/>
      <c r="W3" s="6"/>
      <c r="X3" s="6"/>
      <c r="Y3" s="6"/>
      <c r="AA3" s="6" t="s">
        <v>101</v>
      </c>
      <c r="AB3" s="6"/>
      <c r="AC3" s="6"/>
      <c r="AD3" s="16"/>
    </row>
    <row r="4" spans="1:39" s="21" customFormat="1" ht="43.5" x14ac:dyDescent="0.35">
      <c r="A4" s="21" t="s">
        <v>56</v>
      </c>
      <c r="B4" s="21" t="s">
        <v>57</v>
      </c>
      <c r="C4" s="21" t="s">
        <v>58</v>
      </c>
      <c r="E4" s="21" t="s">
        <v>88</v>
      </c>
      <c r="F4" s="21" t="s">
        <v>91</v>
      </c>
      <c r="H4" s="21" t="s">
        <v>88</v>
      </c>
      <c r="I4" s="21" t="s">
        <v>91</v>
      </c>
      <c r="J4" s="21" t="s">
        <v>56</v>
      </c>
      <c r="K4" s="21" t="s">
        <v>57</v>
      </c>
      <c r="M4" s="21" t="s">
        <v>89</v>
      </c>
      <c r="O4" s="21" t="s">
        <v>88</v>
      </c>
      <c r="P4" s="21" t="s">
        <v>90</v>
      </c>
      <c r="Q4" s="21" t="s">
        <v>57</v>
      </c>
      <c r="R4" s="21" t="s">
        <v>91</v>
      </c>
      <c r="T4" s="21" t="s">
        <v>89</v>
      </c>
      <c r="V4" s="21" t="s">
        <v>88</v>
      </c>
      <c r="W4" s="21" t="s">
        <v>90</v>
      </c>
      <c r="X4" s="21" t="s">
        <v>57</v>
      </c>
      <c r="Y4" s="21" t="s">
        <v>91</v>
      </c>
      <c r="AA4" s="21" t="s">
        <v>102</v>
      </c>
      <c r="AB4" s="21" t="s">
        <v>90</v>
      </c>
      <c r="AC4" s="21" t="s">
        <v>57</v>
      </c>
      <c r="AD4" s="23" t="s">
        <v>91</v>
      </c>
    </row>
    <row r="5" spans="1:39" s="10" customFormat="1" ht="59.4" customHeight="1" x14ac:dyDescent="0.35">
      <c r="F5" s="11" t="str">
        <f ca="1">_xlfn.FORMULATEXT(F6)</f>
        <v>=LARGE($C$6:$C$25,E6)</v>
      </c>
      <c r="I5" s="11" t="str">
        <f ca="1">_xlfn.FORMULATEXT(I6)</f>
        <v>=LARGE($C$6:$C$25,H6)</v>
      </c>
      <c r="J5" s="11" t="str">
        <f ca="1">_xlfn.FORMULATEXT(J6)</f>
        <v>=INDEX(A:A,MATCH($I6,$C:$C,0))</v>
      </c>
      <c r="K5" s="11" t="str">
        <f ca="1">_xlfn.FORMULATEXT(K6)</f>
        <v>=INDEX(B:B,MATCH($I6,$C:$C,0))</v>
      </c>
      <c r="M5" s="11" t="str">
        <f ca="1">_xlfn.FORMULATEXT(M6)</f>
        <v>=RANK($C6,$C$6:$C$25,0)</v>
      </c>
      <c r="N5" s="11"/>
      <c r="P5" s="11" t="str">
        <f t="shared" ref="P5:R5" ca="1" si="0">_xlfn.FORMULATEXT(P6)</f>
        <v>=INDEX(A$6:A$25,MATCH($O6,$M$6:$M$25,0))</v>
      </c>
      <c r="Q5" s="11" t="str">
        <f t="shared" ca="1" si="0"/>
        <v>=INDEX(B$6:B$25,MATCH($O6,$M$6:$M$25,0))</v>
      </c>
      <c r="R5" s="11" t="str">
        <f t="shared" ca="1" si="0"/>
        <v>=INDEX(C$6:C$25,MATCH($O6,$M$6:$M$25,0))</v>
      </c>
      <c r="T5" s="11" t="str">
        <f ca="1">_xlfn.FORMULATEXT(T6)</f>
        <v>=RANK($C6,$C$6:$C$25,0)+COUNTIF($C$5:C5,$C6)</v>
      </c>
      <c r="U5" s="11"/>
      <c r="W5" s="11" t="str">
        <f t="shared" ref="W5" ca="1" si="1">_xlfn.FORMULATEXT(W6)</f>
        <v>=INDEX(A$6:A$25,MATCH($V6,$T$6:$T$25,0))</v>
      </c>
      <c r="X5" s="11" t="str">
        <f t="shared" ref="X5" ca="1" si="2">_xlfn.FORMULATEXT(X6)</f>
        <v>=INDEX(B$6:B$25,MATCH($V6,$T$6:$T$25,0))</v>
      </c>
      <c r="Y5" s="11" t="str">
        <f t="shared" ref="Y5" ca="1" si="3">_xlfn.FORMULATEXT(Y6)</f>
        <v>=INDEX(C$6:C$25,MATCH($V6,$T$6:$T$25,0))</v>
      </c>
      <c r="AA5" s="28">
        <v>5</v>
      </c>
      <c r="AB5" s="14" t="str">
        <f t="shared" ref="AB5" ca="1" si="4">_xlfn.FORMULATEXT(AB6)</f>
        <v>=TAKE(SORT(A6:C25,3,-1),AA5)</v>
      </c>
      <c r="AC5" s="11"/>
      <c r="AD5" s="17"/>
    </row>
    <row r="6" spans="1:39" x14ac:dyDescent="0.35">
      <c r="A6" s="25" t="s">
        <v>59</v>
      </c>
      <c r="B6" s="25" t="s">
        <v>60</v>
      </c>
      <c r="C6" s="24">
        <v>84250</v>
      </c>
      <c r="E6" s="24">
        <v>1</v>
      </c>
      <c r="F6" s="26">
        <f>LARGE($C$6:$C$25,E6)</f>
        <v>102300</v>
      </c>
      <c r="H6" s="24">
        <v>1</v>
      </c>
      <c r="I6" s="26">
        <f>LARGE($C$6:$C$25,H6)</f>
        <v>102300</v>
      </c>
      <c r="J6" s="26" t="str">
        <f>INDEX(A:A,MATCH($I6,$C:$C,0))</f>
        <v>Jack Turner</v>
      </c>
      <c r="K6" s="26" t="str">
        <f>INDEX(B:B,MATCH($I6,$C:$C,0))</f>
        <v>London</v>
      </c>
      <c r="M6" s="26">
        <f>RANK($C6,$C$6:$C$25,0)</f>
        <v>6</v>
      </c>
      <c r="O6" s="24">
        <v>1</v>
      </c>
      <c r="P6" s="26" t="str">
        <f>INDEX(A$6:A$25,MATCH($O6,$M$6:$M$25,0))</f>
        <v>Jack Turner</v>
      </c>
      <c r="Q6" s="26" t="str">
        <f t="shared" ref="Q6:R6" si="5">INDEX(B$6:B$25,MATCH($O6,$M$6:$M$25,0))</f>
        <v>London</v>
      </c>
      <c r="R6" s="26">
        <f t="shared" si="5"/>
        <v>102300</v>
      </c>
      <c r="T6" s="26">
        <f>RANK($C6,$C$6:$C$25,0)+COUNTIF($C$5:C5,$C6)</f>
        <v>6</v>
      </c>
      <c r="V6" s="24">
        <v>1</v>
      </c>
      <c r="W6" s="26" t="str">
        <f>INDEX(A$6:A$25,MATCH($V6,$T$6:$T$25,0))</f>
        <v>Jack Turner</v>
      </c>
      <c r="X6" s="26" t="str">
        <f t="shared" ref="X6:Y6" si="6">INDEX(B$6:B$25,MATCH($V6,$T$6:$T$25,0))</f>
        <v>London</v>
      </c>
      <c r="Y6" s="26">
        <f t="shared" si="6"/>
        <v>102300</v>
      </c>
      <c r="AB6" s="26" t="str" cm="1">
        <f t="array" ref="AB6:AD10">_xlfn.TAKE(_xlfn._xlws.SORT(A6:C25,3,-1),AA5)</f>
        <v>Jack Turner</v>
      </c>
      <c r="AC6" s="26" t="str">
        <v>London</v>
      </c>
      <c r="AD6" s="26">
        <v>102300</v>
      </c>
      <c r="AF6" s="10"/>
      <c r="AG6" s="10"/>
      <c r="AH6" s="10"/>
      <c r="AI6" s="10"/>
      <c r="AJ6" s="10"/>
      <c r="AK6" s="10"/>
      <c r="AL6" s="10"/>
      <c r="AM6" s="10"/>
    </row>
    <row r="7" spans="1:39" x14ac:dyDescent="0.35">
      <c r="A7" s="25" t="s">
        <v>61</v>
      </c>
      <c r="B7" s="25" t="s">
        <v>62</v>
      </c>
      <c r="C7" s="24">
        <v>67300</v>
      </c>
      <c r="E7" s="24">
        <v>2</v>
      </c>
      <c r="F7" s="26">
        <f t="shared" ref="F7:F10" si="7">LARGE($C$6:$C$25,E7)</f>
        <v>95800</v>
      </c>
      <c r="H7" s="24">
        <v>2</v>
      </c>
      <c r="I7" s="26">
        <f t="shared" ref="I7:I10" si="8">LARGE($C$6:$C$25,H7)</f>
        <v>95800</v>
      </c>
      <c r="J7" s="26" t="str">
        <f t="shared" ref="J7:K10" si="9">INDEX(A:A,MATCH($I7,$C:$C,0))</f>
        <v>Oliver Hughes</v>
      </c>
      <c r="K7" s="26" t="str">
        <f t="shared" si="9"/>
        <v>Birmingham</v>
      </c>
      <c r="M7" s="26">
        <f t="shared" ref="M7:M25" si="10">RANK($C7,$C$6:$C$25,0)</f>
        <v>14</v>
      </c>
      <c r="O7" s="24">
        <v>2</v>
      </c>
      <c r="P7" s="26" t="str">
        <f t="shared" ref="P7:P10" si="11">INDEX(A$6:A$25,MATCH($O7,$M$6:$M$25,0))</f>
        <v>Oliver Hughes</v>
      </c>
      <c r="Q7" s="26" t="str">
        <f t="shared" ref="Q7:Q10" si="12">INDEX(B$6:B$25,MATCH($O7,$M$6:$M$25,0))</f>
        <v>Birmingham</v>
      </c>
      <c r="R7" s="26">
        <f t="shared" ref="R7:R10" si="13">INDEX(C$6:C$25,MATCH($O7,$M$6:$M$25,0))</f>
        <v>95800</v>
      </c>
      <c r="T7" s="26">
        <f>RANK($C7,$C$6:$C$25,0)+COUNTIF($C$5:C6,$C7)</f>
        <v>14</v>
      </c>
      <c r="V7" s="24">
        <v>2</v>
      </c>
      <c r="W7" s="26" t="str">
        <f t="shared" ref="W7:W10" si="14">INDEX(A$6:A$25,MATCH($V7,$T$6:$T$25,0))</f>
        <v>Oliver Hughes</v>
      </c>
      <c r="X7" s="26" t="str">
        <f t="shared" ref="X7:X10" si="15">INDEX(B$6:B$25,MATCH($V7,$T$6:$T$25,0))</f>
        <v>Birmingham</v>
      </c>
      <c r="Y7" s="26">
        <f t="shared" ref="Y7:Y10" si="16">INDEX(C$6:C$25,MATCH($V7,$T$6:$T$25,0))</f>
        <v>95800</v>
      </c>
      <c r="AB7" s="26" t="str">
        <v>Oliver Hughes</v>
      </c>
      <c r="AC7" s="26" t="str">
        <v>Birmingham</v>
      </c>
      <c r="AD7" s="26">
        <v>95800</v>
      </c>
      <c r="AF7" s="10"/>
      <c r="AG7" s="10"/>
      <c r="AH7" s="10"/>
      <c r="AI7" s="10"/>
      <c r="AJ7" s="10"/>
      <c r="AK7" s="10"/>
      <c r="AL7" s="10"/>
      <c r="AM7" s="10"/>
    </row>
    <row r="8" spans="1:39" x14ac:dyDescent="0.35">
      <c r="A8" s="25" t="s">
        <v>63</v>
      </c>
      <c r="B8" s="25" t="s">
        <v>64</v>
      </c>
      <c r="C8" s="24">
        <v>95800</v>
      </c>
      <c r="E8" s="24">
        <v>3</v>
      </c>
      <c r="F8" s="26">
        <f t="shared" si="7"/>
        <v>95800</v>
      </c>
      <c r="H8" s="24">
        <v>3</v>
      </c>
      <c r="I8" s="26">
        <f t="shared" si="8"/>
        <v>95800</v>
      </c>
      <c r="J8" s="26" t="str">
        <f t="shared" si="9"/>
        <v>Oliver Hughes</v>
      </c>
      <c r="K8" s="26" t="str">
        <f t="shared" si="9"/>
        <v>Birmingham</v>
      </c>
      <c r="M8" s="26">
        <f t="shared" si="10"/>
        <v>2</v>
      </c>
      <c r="O8" s="24">
        <v>3</v>
      </c>
      <c r="P8" s="26" t="e">
        <f t="shared" si="11"/>
        <v>#N/A</v>
      </c>
      <c r="Q8" s="26" t="e">
        <f t="shared" si="12"/>
        <v>#N/A</v>
      </c>
      <c r="R8" s="26" t="e">
        <f t="shared" si="13"/>
        <v>#N/A</v>
      </c>
      <c r="T8" s="26">
        <f>RANK($C8,$C$6:$C$25,0)+COUNTIF($C$5:C7,$C8)</f>
        <v>2</v>
      </c>
      <c r="V8" s="24">
        <v>3</v>
      </c>
      <c r="W8" s="26" t="str">
        <f t="shared" si="14"/>
        <v>Charlie Price</v>
      </c>
      <c r="X8" s="26" t="str">
        <f t="shared" si="15"/>
        <v>Bristol</v>
      </c>
      <c r="Y8" s="26">
        <f t="shared" si="16"/>
        <v>95800</v>
      </c>
      <c r="AB8" s="26" t="str">
        <v>Charlie Price</v>
      </c>
      <c r="AC8" s="26" t="str">
        <v>Bristol</v>
      </c>
      <c r="AD8" s="26">
        <v>95800</v>
      </c>
      <c r="AF8" s="10"/>
      <c r="AG8" s="10"/>
      <c r="AH8" s="10"/>
      <c r="AI8" s="10"/>
      <c r="AJ8" s="10"/>
      <c r="AK8" s="10"/>
      <c r="AL8" s="10"/>
      <c r="AM8" s="10"/>
    </row>
    <row r="9" spans="1:39" x14ac:dyDescent="0.35">
      <c r="A9" s="25" t="s">
        <v>65</v>
      </c>
      <c r="B9" s="25" t="s">
        <v>60</v>
      </c>
      <c r="C9" s="24">
        <v>72800</v>
      </c>
      <c r="E9" s="24">
        <v>4</v>
      </c>
      <c r="F9" s="26">
        <f t="shared" si="7"/>
        <v>88750</v>
      </c>
      <c r="H9" s="24">
        <v>4</v>
      </c>
      <c r="I9" s="26">
        <f t="shared" si="8"/>
        <v>88750</v>
      </c>
      <c r="J9" s="26" t="str">
        <f t="shared" si="9"/>
        <v>Oscar Reed</v>
      </c>
      <c r="K9" s="26" t="str">
        <f t="shared" si="9"/>
        <v>London</v>
      </c>
      <c r="M9" s="26">
        <f t="shared" si="10"/>
        <v>11</v>
      </c>
      <c r="O9" s="24">
        <v>4</v>
      </c>
      <c r="P9" s="26" t="str">
        <f t="shared" si="11"/>
        <v>Oscar Reed</v>
      </c>
      <c r="Q9" s="26" t="str">
        <f t="shared" si="12"/>
        <v>London</v>
      </c>
      <c r="R9" s="26">
        <f t="shared" si="13"/>
        <v>88750</v>
      </c>
      <c r="T9" s="26">
        <f>RANK($C9,$C$6:$C$25,0)+COUNTIF($C$5:C8,$C9)</f>
        <v>11</v>
      </c>
      <c r="V9" s="24">
        <v>4</v>
      </c>
      <c r="W9" s="26" t="str">
        <f t="shared" si="14"/>
        <v>Oscar Reed</v>
      </c>
      <c r="X9" s="26" t="str">
        <f t="shared" si="15"/>
        <v>London</v>
      </c>
      <c r="Y9" s="26">
        <f t="shared" si="16"/>
        <v>88750</v>
      </c>
      <c r="AB9" s="26" t="str">
        <v>Oscar Reed</v>
      </c>
      <c r="AC9" s="26" t="str">
        <v>London</v>
      </c>
      <c r="AD9" s="26">
        <v>88750</v>
      </c>
      <c r="AF9" s="10"/>
      <c r="AG9" s="10"/>
      <c r="AH9" s="10"/>
      <c r="AI9" s="10"/>
      <c r="AJ9" s="10"/>
      <c r="AK9" s="10"/>
      <c r="AL9" s="10"/>
      <c r="AM9" s="10"/>
    </row>
    <row r="10" spans="1:39" x14ac:dyDescent="0.35">
      <c r="A10" s="25" t="s">
        <v>66</v>
      </c>
      <c r="B10" s="25" t="s">
        <v>67</v>
      </c>
      <c r="C10" s="24">
        <v>55400</v>
      </c>
      <c r="E10" s="24">
        <v>5</v>
      </c>
      <c r="F10" s="26">
        <f t="shared" si="7"/>
        <v>84500</v>
      </c>
      <c r="H10" s="24">
        <v>5</v>
      </c>
      <c r="I10" s="26">
        <f t="shared" si="8"/>
        <v>84500</v>
      </c>
      <c r="J10" s="26" t="str">
        <f t="shared" si="9"/>
        <v>Ella Morris</v>
      </c>
      <c r="K10" s="26" t="str">
        <f t="shared" si="9"/>
        <v>Bristol</v>
      </c>
      <c r="M10" s="26">
        <f t="shared" si="10"/>
        <v>18</v>
      </c>
      <c r="O10" s="24">
        <v>5</v>
      </c>
      <c r="P10" s="26" t="str">
        <f t="shared" si="11"/>
        <v>Ella Morris</v>
      </c>
      <c r="Q10" s="26" t="str">
        <f t="shared" si="12"/>
        <v>Bristol</v>
      </c>
      <c r="R10" s="26">
        <f t="shared" si="13"/>
        <v>84500</v>
      </c>
      <c r="T10" s="26">
        <f>RANK($C10,$C$6:$C$25,0)+COUNTIF($C$5:C9,$C10)</f>
        <v>18</v>
      </c>
      <c r="V10" s="24">
        <v>5</v>
      </c>
      <c r="W10" s="26" t="str">
        <f t="shared" si="14"/>
        <v>Ella Morris</v>
      </c>
      <c r="X10" s="26" t="str">
        <f t="shared" si="15"/>
        <v>Bristol</v>
      </c>
      <c r="Y10" s="26">
        <f t="shared" si="16"/>
        <v>84500</v>
      </c>
      <c r="AB10" s="26" t="str">
        <v>Ella Morris</v>
      </c>
      <c r="AC10" s="26" t="str">
        <v>Bristol</v>
      </c>
      <c r="AD10" s="26">
        <v>84500</v>
      </c>
      <c r="AF10" s="10"/>
      <c r="AG10" s="10"/>
      <c r="AH10" s="10"/>
      <c r="AI10" s="10"/>
      <c r="AJ10" s="10"/>
      <c r="AK10" s="10"/>
      <c r="AL10" s="10"/>
      <c r="AM10" s="10"/>
    </row>
    <row r="11" spans="1:39" x14ac:dyDescent="0.35">
      <c r="A11" s="25" t="s">
        <v>68</v>
      </c>
      <c r="B11" s="25" t="s">
        <v>69</v>
      </c>
      <c r="C11" s="24">
        <v>68950</v>
      </c>
      <c r="M11" s="26">
        <f t="shared" si="10"/>
        <v>13</v>
      </c>
      <c r="T11" s="26">
        <f>RANK($C11,$C$6:$C$25,0)+COUNTIF($C$5:C10,$C11)</f>
        <v>13</v>
      </c>
      <c r="AD11" s="35"/>
      <c r="AF11" s="10"/>
      <c r="AG11" s="10"/>
      <c r="AH11" s="10"/>
      <c r="AI11" s="10"/>
      <c r="AJ11" s="10"/>
      <c r="AK11" s="10"/>
      <c r="AL11" s="10"/>
      <c r="AM11" s="10"/>
    </row>
    <row r="12" spans="1:39" x14ac:dyDescent="0.35">
      <c r="A12" s="25" t="s">
        <v>70</v>
      </c>
      <c r="B12" s="25" t="s">
        <v>60</v>
      </c>
      <c r="C12" s="24">
        <v>102300</v>
      </c>
      <c r="M12" s="26">
        <f t="shared" si="10"/>
        <v>1</v>
      </c>
      <c r="T12" s="26">
        <f>RANK($C12,$C$6:$C$25,0)+COUNTIF($C$5:C11,$C12)</f>
        <v>1</v>
      </c>
      <c r="AD12" s="35"/>
      <c r="AF12" s="10"/>
      <c r="AG12" s="10"/>
      <c r="AH12" s="10"/>
      <c r="AI12" s="10"/>
      <c r="AJ12" s="10"/>
      <c r="AK12" s="10"/>
      <c r="AL12" s="10"/>
      <c r="AM12" s="10"/>
    </row>
    <row r="13" spans="1:39" x14ac:dyDescent="0.35">
      <c r="A13" s="25" t="s">
        <v>71</v>
      </c>
      <c r="B13" s="25" t="s">
        <v>62</v>
      </c>
      <c r="C13" s="24">
        <v>47750</v>
      </c>
      <c r="E13" s="27"/>
      <c r="H13" s="27"/>
      <c r="M13" s="26">
        <f t="shared" si="10"/>
        <v>20</v>
      </c>
      <c r="T13" s="26">
        <f>RANK($C13,$C$6:$C$25,0)+COUNTIF($C$5:C12,$C13)</f>
        <v>20</v>
      </c>
      <c r="AD13" s="35"/>
      <c r="AF13" s="10"/>
      <c r="AG13" s="10"/>
      <c r="AH13" s="10"/>
      <c r="AI13" s="10"/>
      <c r="AJ13" s="10"/>
      <c r="AK13" s="10"/>
      <c r="AL13" s="10"/>
      <c r="AM13" s="10"/>
    </row>
    <row r="14" spans="1:39" x14ac:dyDescent="0.35">
      <c r="A14" s="25" t="s">
        <v>72</v>
      </c>
      <c r="B14" s="25" t="s">
        <v>64</v>
      </c>
      <c r="C14" s="24">
        <v>83600</v>
      </c>
      <c r="M14" s="26">
        <f t="shared" si="10"/>
        <v>7</v>
      </c>
      <c r="T14" s="26">
        <f>RANK($C14,$C$6:$C$25,0)+COUNTIF($C$5:C13,$C14)</f>
        <v>7</v>
      </c>
      <c r="AD14" s="35"/>
      <c r="AF14" s="10"/>
      <c r="AG14" s="10"/>
      <c r="AH14" s="10"/>
      <c r="AI14" s="10"/>
      <c r="AJ14" s="10"/>
      <c r="AK14" s="10"/>
      <c r="AL14" s="10"/>
      <c r="AM14" s="10"/>
    </row>
    <row r="15" spans="1:39" x14ac:dyDescent="0.35">
      <c r="A15" s="25" t="s">
        <v>73</v>
      </c>
      <c r="B15" s="25" t="s">
        <v>67</v>
      </c>
      <c r="C15" s="24">
        <v>59100</v>
      </c>
      <c r="M15" s="26">
        <f t="shared" si="10"/>
        <v>17</v>
      </c>
      <c r="T15" s="26">
        <f>RANK($C15,$C$6:$C$25,0)+COUNTIF($C$5:C14,$C15)</f>
        <v>17</v>
      </c>
      <c r="AD15" s="35"/>
      <c r="AF15" s="10"/>
      <c r="AG15" s="10"/>
      <c r="AH15" s="10"/>
      <c r="AI15" s="10"/>
      <c r="AJ15" s="10"/>
      <c r="AK15" s="10"/>
      <c r="AL15" s="10"/>
      <c r="AM15" s="10"/>
    </row>
    <row r="16" spans="1:39" x14ac:dyDescent="0.35">
      <c r="A16" s="25" t="s">
        <v>74</v>
      </c>
      <c r="B16" s="25" t="s">
        <v>69</v>
      </c>
      <c r="C16" s="24">
        <v>74850</v>
      </c>
      <c r="M16" s="26">
        <f t="shared" si="10"/>
        <v>10</v>
      </c>
      <c r="T16" s="26">
        <f>RANK($C16,$C$6:$C$25,0)+COUNTIF($C$5:C15,$C16)</f>
        <v>10</v>
      </c>
      <c r="AD16" s="35"/>
      <c r="AF16" s="10"/>
      <c r="AG16" s="10"/>
      <c r="AH16" s="10"/>
      <c r="AI16" s="10"/>
      <c r="AJ16" s="10"/>
      <c r="AK16" s="10"/>
      <c r="AL16" s="10"/>
      <c r="AM16" s="10"/>
    </row>
    <row r="17" spans="1:39" x14ac:dyDescent="0.35">
      <c r="A17" s="25" t="s">
        <v>75</v>
      </c>
      <c r="B17" s="25" t="s">
        <v>60</v>
      </c>
      <c r="C17" s="24">
        <v>66400</v>
      </c>
      <c r="M17" s="26">
        <f t="shared" si="10"/>
        <v>15</v>
      </c>
      <c r="T17" s="26">
        <f>RANK($C17,$C$6:$C$25,0)+COUNTIF($C$5:C16,$C17)</f>
        <v>15</v>
      </c>
      <c r="AD17" s="35"/>
      <c r="AF17" s="10"/>
      <c r="AG17" s="10"/>
      <c r="AH17" s="10"/>
      <c r="AI17" s="10"/>
      <c r="AJ17" s="10"/>
      <c r="AK17" s="10"/>
      <c r="AL17" s="10"/>
      <c r="AM17" s="10"/>
    </row>
    <row r="18" spans="1:39" x14ac:dyDescent="0.35">
      <c r="A18" s="25" t="s">
        <v>76</v>
      </c>
      <c r="B18" s="25" t="s">
        <v>62</v>
      </c>
      <c r="C18" s="24">
        <v>80500</v>
      </c>
      <c r="M18" s="26">
        <f t="shared" si="10"/>
        <v>8</v>
      </c>
      <c r="T18" s="26">
        <f>RANK($C18,$C$6:$C$25,0)+COUNTIF($C$5:C17,$C18)</f>
        <v>8</v>
      </c>
      <c r="AD18" s="35"/>
      <c r="AF18" s="10"/>
      <c r="AG18" s="10"/>
      <c r="AH18" s="10"/>
      <c r="AI18" s="10"/>
      <c r="AJ18" s="10"/>
      <c r="AK18" s="10"/>
      <c r="AL18" s="10"/>
      <c r="AM18" s="10"/>
    </row>
    <row r="19" spans="1:39" x14ac:dyDescent="0.35">
      <c r="A19" s="25" t="s">
        <v>77</v>
      </c>
      <c r="B19" s="25" t="s">
        <v>64</v>
      </c>
      <c r="C19" s="24">
        <v>72250</v>
      </c>
      <c r="M19" s="26">
        <f t="shared" si="10"/>
        <v>12</v>
      </c>
      <c r="T19" s="26">
        <f>RANK($C19,$C$6:$C$25,0)+COUNTIF($C$5:C18,$C19)</f>
        <v>12</v>
      </c>
      <c r="AD19" s="35"/>
      <c r="AF19" s="10"/>
      <c r="AG19" s="10"/>
      <c r="AH19" s="10"/>
      <c r="AI19" s="10"/>
      <c r="AJ19" s="10"/>
      <c r="AK19" s="10"/>
      <c r="AL19" s="10"/>
      <c r="AM19" s="10"/>
    </row>
    <row r="20" spans="1:39" x14ac:dyDescent="0.35">
      <c r="A20" s="25" t="s">
        <v>78</v>
      </c>
      <c r="B20" s="25" t="s">
        <v>67</v>
      </c>
      <c r="C20" s="24">
        <v>95800</v>
      </c>
      <c r="M20" s="26">
        <f t="shared" si="10"/>
        <v>2</v>
      </c>
      <c r="T20" s="26">
        <f>RANK($C20,$C$6:$C$25,0)+COUNTIF($C$5:C19,$C20)</f>
        <v>3</v>
      </c>
      <c r="AD20" s="35"/>
      <c r="AF20" s="10"/>
      <c r="AG20" s="10"/>
      <c r="AH20" s="10"/>
      <c r="AI20" s="10"/>
      <c r="AJ20" s="10"/>
      <c r="AK20" s="10"/>
      <c r="AL20" s="10"/>
      <c r="AM20" s="10"/>
    </row>
    <row r="21" spans="1:39" x14ac:dyDescent="0.35">
      <c r="A21" s="25" t="s">
        <v>79</v>
      </c>
      <c r="B21" s="25" t="s">
        <v>69</v>
      </c>
      <c r="C21" s="24">
        <v>61200</v>
      </c>
      <c r="M21" s="26">
        <f t="shared" si="10"/>
        <v>16</v>
      </c>
      <c r="T21" s="26">
        <f>RANK($C21,$C$6:$C$25,0)+COUNTIF($C$5:C20,$C21)</f>
        <v>16</v>
      </c>
      <c r="AD21" s="35"/>
      <c r="AF21" s="10"/>
      <c r="AG21" s="10"/>
      <c r="AH21" s="10"/>
      <c r="AI21" s="10"/>
      <c r="AJ21" s="10"/>
      <c r="AK21" s="10"/>
      <c r="AL21" s="10"/>
      <c r="AM21" s="10"/>
    </row>
    <row r="22" spans="1:39" x14ac:dyDescent="0.35">
      <c r="A22" s="25" t="s">
        <v>80</v>
      </c>
      <c r="B22" s="25" t="s">
        <v>60</v>
      </c>
      <c r="C22" s="24">
        <v>88750</v>
      </c>
      <c r="M22" s="26">
        <f t="shared" si="10"/>
        <v>4</v>
      </c>
      <c r="T22" s="26">
        <f>RANK($C22,$C$6:$C$25,0)+COUNTIF($C$5:C21,$C22)</f>
        <v>4</v>
      </c>
      <c r="AD22" s="35"/>
      <c r="AF22" s="10"/>
      <c r="AG22" s="10"/>
      <c r="AH22" s="10"/>
      <c r="AI22" s="10"/>
      <c r="AJ22" s="10"/>
      <c r="AK22" s="10"/>
      <c r="AL22" s="10"/>
      <c r="AM22" s="10"/>
    </row>
    <row r="23" spans="1:39" x14ac:dyDescent="0.35">
      <c r="A23" s="25" t="s">
        <v>81</v>
      </c>
      <c r="B23" s="25" t="s">
        <v>62</v>
      </c>
      <c r="C23" s="24">
        <v>53900</v>
      </c>
      <c r="M23" s="26">
        <f t="shared" si="10"/>
        <v>19</v>
      </c>
      <c r="T23" s="26">
        <f>RANK($C23,$C$6:$C$25,0)+COUNTIF($C$5:C22,$C23)</f>
        <v>19</v>
      </c>
      <c r="AD23" s="35"/>
      <c r="AF23" s="10"/>
      <c r="AG23" s="10"/>
      <c r="AH23" s="10"/>
      <c r="AI23" s="10"/>
      <c r="AJ23" s="10"/>
      <c r="AK23" s="10"/>
      <c r="AL23" s="10"/>
      <c r="AM23" s="10"/>
    </row>
    <row r="24" spans="1:39" x14ac:dyDescent="0.35">
      <c r="A24" s="25" t="s">
        <v>82</v>
      </c>
      <c r="B24" s="25" t="s">
        <v>64</v>
      </c>
      <c r="C24" s="24">
        <v>78150</v>
      </c>
      <c r="M24" s="26">
        <f t="shared" si="10"/>
        <v>9</v>
      </c>
      <c r="T24" s="26">
        <f>RANK($C24,$C$6:$C$25,0)+COUNTIF($C$5:C23,$C24)</f>
        <v>9</v>
      </c>
      <c r="AD24" s="35"/>
      <c r="AF24" s="10"/>
      <c r="AG24" s="10"/>
      <c r="AH24" s="10"/>
      <c r="AI24" s="10"/>
      <c r="AJ24" s="10"/>
      <c r="AK24" s="10"/>
      <c r="AL24" s="10"/>
      <c r="AM24" s="10"/>
    </row>
    <row r="25" spans="1:39" x14ac:dyDescent="0.35">
      <c r="A25" s="25" t="s">
        <v>83</v>
      </c>
      <c r="B25" s="25" t="s">
        <v>67</v>
      </c>
      <c r="C25" s="24">
        <v>84500</v>
      </c>
      <c r="M25" s="26">
        <f t="shared" si="10"/>
        <v>5</v>
      </c>
      <c r="T25" s="26">
        <f>RANK($C25,$C$6:$C$25,0)+COUNTIF($C$5:C24,$C25)</f>
        <v>5</v>
      </c>
      <c r="AD25" s="35"/>
      <c r="AF25" s="10"/>
      <c r="AG25" s="10"/>
      <c r="AH25" s="10"/>
      <c r="AI25" s="10"/>
      <c r="AJ25" s="10"/>
      <c r="AK25" s="10"/>
      <c r="AL25" s="10"/>
      <c r="AM25" s="10"/>
    </row>
    <row r="26" spans="1:39" x14ac:dyDescent="0.35">
      <c r="AF26" s="10"/>
      <c r="AG26" s="10"/>
      <c r="AH26" s="10"/>
      <c r="AI26" s="10"/>
      <c r="AJ26" s="10"/>
      <c r="AK26" s="10"/>
      <c r="AL26" s="10"/>
      <c r="AM26" s="10"/>
    </row>
    <row r="27" spans="1:39" ht="57.65" customHeight="1" x14ac:dyDescent="0.35">
      <c r="C27" s="13" t="s">
        <v>189</v>
      </c>
      <c r="E27" s="66" t="s">
        <v>86</v>
      </c>
      <c r="F27" s="66"/>
      <c r="H27" s="66" t="s">
        <v>94</v>
      </c>
      <c r="I27" s="66"/>
      <c r="J27" s="66"/>
      <c r="K27" s="66"/>
      <c r="M27" s="12" t="s">
        <v>93</v>
      </c>
      <c r="T27" s="66" t="s">
        <v>97</v>
      </c>
      <c r="U27" s="66"/>
      <c r="V27" s="66"/>
      <c r="W27" s="66"/>
      <c r="X27" s="66"/>
      <c r="Y27" s="66"/>
    </row>
    <row r="28" spans="1:39" ht="45.5" customHeight="1" x14ac:dyDescent="0.35">
      <c r="C28" s="13" t="s">
        <v>24</v>
      </c>
      <c r="E28" s="66" t="s">
        <v>87</v>
      </c>
      <c r="F28" s="66"/>
      <c r="H28" s="66" t="s">
        <v>95</v>
      </c>
      <c r="I28" s="66"/>
      <c r="J28" s="66"/>
      <c r="K28" s="66"/>
      <c r="M28" s="12" t="s">
        <v>96</v>
      </c>
      <c r="T28" s="12" t="s">
        <v>98</v>
      </c>
    </row>
    <row r="29" spans="1:39" ht="53.4" customHeight="1" x14ac:dyDescent="0.35">
      <c r="C29" s="27" t="s">
        <v>190</v>
      </c>
      <c r="AA29" s="66" t="s">
        <v>198</v>
      </c>
      <c r="AB29" s="66"/>
      <c r="AC29" s="66"/>
      <c r="AD29" s="66"/>
    </row>
  </sheetData>
  <sortState xmlns:xlrd2="http://schemas.microsoft.com/office/spreadsheetml/2017/richdata2" ref="AF6:AH25">
    <sortCondition descending="1" ref="AH6:AH25"/>
  </sortState>
  <mergeCells count="6">
    <mergeCell ref="E27:F27"/>
    <mergeCell ref="H27:K27"/>
    <mergeCell ref="T27:Y27"/>
    <mergeCell ref="AA29:AD29"/>
    <mergeCell ref="E28:F28"/>
    <mergeCell ref="H28:K2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0. Agenda</vt:lpstr>
      <vt:lpstr>1.1 Splitting Text</vt:lpstr>
      <vt:lpstr>1.2 Splitting Text (cont)</vt:lpstr>
      <vt:lpstr>1.3 Splitting Text (cont)</vt:lpstr>
      <vt:lpstr>2. Joining Text</vt:lpstr>
      <vt:lpstr>3. Lookup</vt:lpstr>
      <vt:lpstr>4. Unique List</vt:lpstr>
      <vt:lpstr>5. Filtering</vt:lpstr>
      <vt:lpstr>6. Top N</vt:lpstr>
      <vt:lpstr>7.1 Report Aggregates</vt:lpstr>
      <vt:lpstr>7.2 Report Aggregates (cont)</vt:lpstr>
      <vt:lpstr>8. Nested IF</vt:lpstr>
      <vt:lpstr>9. Reusing Variables</vt:lpstr>
      <vt:lpstr>Conclusion</vt:lpstr>
      <vt:lpstr>B1. Functions List</vt:lpstr>
      <vt:lpstr>B2. 2021 on Examples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 Ducker</dc:creator>
  <cp:lastModifiedBy>Ben Ducker</cp:lastModifiedBy>
  <dcterms:created xsi:type="dcterms:W3CDTF">2025-11-27T11:15:39Z</dcterms:created>
  <dcterms:modified xsi:type="dcterms:W3CDTF">2026-03-25T11:24:43Z</dcterms:modified>
</cp:coreProperties>
</file>