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-\OneDrive\Desktop\Webinar - Excel Maths &amp; Statistics - Jun 23\"/>
    </mc:Choice>
  </mc:AlternateContent>
  <xr:revisionPtr revIDLastSave="0" documentId="13_ncr:1_{508CAE3E-E135-43D7-9E79-D0982078EF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erages" sheetId="8" r:id="rId1"/>
    <sheet name="Moving Averages" sheetId="1" r:id="rId2"/>
    <sheet name="Smoothing Averages" sheetId="5" r:id="rId3"/>
    <sheet name="Regression" sheetId="2" r:id="rId4"/>
    <sheet name="Dates" sheetId="3" r:id="rId5"/>
    <sheet name="Seasonalising" sheetId="4" r:id="rId6"/>
    <sheet name="Scenario Data" sheetId="6" r:id="rId7"/>
    <sheet name="Scroll bar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E3" i="4"/>
  <c r="D3" i="4"/>
  <c r="L19" i="6" l="1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10" i="6"/>
  <c r="L11" i="6"/>
  <c r="L12" i="6"/>
  <c r="L13" i="6"/>
  <c r="L14" i="6"/>
  <c r="L15" i="6"/>
  <c r="L16" i="6"/>
  <c r="L17" i="6"/>
  <c r="L18" i="6"/>
  <c r="L9" i="6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I11" i="1" l="1"/>
  <c r="I9" i="1"/>
  <c r="I7" i="1"/>
  <c r="K9" i="6"/>
  <c r="J9" i="6"/>
  <c r="F10" i="6"/>
  <c r="F11" i="6" s="1"/>
  <c r="K11" i="6" s="1"/>
  <c r="D7" i="6"/>
  <c r="C7" i="6"/>
  <c r="B7" i="6"/>
  <c r="D6" i="6"/>
  <c r="C6" i="6"/>
  <c r="B6" i="6"/>
  <c r="D5" i="6"/>
  <c r="C5" i="6"/>
  <c r="B5" i="6"/>
  <c r="G9" i="6" l="1"/>
  <c r="H9" i="6" s="1"/>
  <c r="G11" i="6"/>
  <c r="H11" i="6" s="1"/>
  <c r="G10" i="6"/>
  <c r="H10" i="6" s="1"/>
  <c r="J11" i="6"/>
  <c r="J10" i="6"/>
  <c r="K10" i="6"/>
  <c r="F12" i="6"/>
  <c r="K12" i="6" l="1"/>
  <c r="J12" i="6"/>
  <c r="G12" i="6"/>
  <c r="H12" i="6" s="1"/>
  <c r="I9" i="6"/>
  <c r="I10" i="6"/>
  <c r="I11" i="6"/>
  <c r="F13" i="6"/>
  <c r="J13" i="6" l="1"/>
  <c r="G13" i="6"/>
  <c r="H13" i="6" s="1"/>
  <c r="F14" i="6"/>
  <c r="I12" i="6"/>
  <c r="K14" i="6" l="1"/>
  <c r="J14" i="6"/>
  <c r="G14" i="6"/>
  <c r="H14" i="6" s="1"/>
  <c r="I13" i="6"/>
  <c r="F15" i="6"/>
  <c r="K15" i="6" l="1"/>
  <c r="J15" i="6"/>
  <c r="G15" i="6"/>
  <c r="H15" i="6" s="1"/>
  <c r="F16" i="6"/>
  <c r="I14" i="6"/>
  <c r="K16" i="6" l="1"/>
  <c r="J16" i="6"/>
  <c r="G16" i="6"/>
  <c r="H16" i="6" s="1"/>
  <c r="I15" i="6"/>
  <c r="F17" i="6"/>
  <c r="J17" i="6" l="1"/>
  <c r="G17" i="6"/>
  <c r="H17" i="6" s="1"/>
  <c r="F18" i="6"/>
  <c r="I16" i="6"/>
  <c r="K18" i="6" l="1"/>
  <c r="G18" i="6"/>
  <c r="H18" i="6" s="1"/>
  <c r="J18" i="6"/>
  <c r="I17" i="6"/>
  <c r="F19" i="6"/>
  <c r="K19" i="6" l="1"/>
  <c r="G19" i="6"/>
  <c r="H19" i="6" s="1"/>
  <c r="J19" i="6"/>
  <c r="I18" i="6"/>
  <c r="F20" i="6"/>
  <c r="K20" i="6" l="1"/>
  <c r="G20" i="6"/>
  <c r="H20" i="6" s="1"/>
  <c r="J20" i="6"/>
  <c r="F21" i="6"/>
  <c r="I19" i="6"/>
  <c r="G21" i="6" l="1"/>
  <c r="J21" i="6"/>
  <c r="I20" i="6"/>
  <c r="F22" i="6"/>
  <c r="G22" i="6" l="1"/>
  <c r="H22" i="6" s="1"/>
  <c r="J22" i="6"/>
  <c r="K22" i="6"/>
  <c r="H21" i="6"/>
  <c r="F23" i="6"/>
  <c r="I21" i="6"/>
  <c r="G23" i="6" l="1"/>
  <c r="H23" i="6" s="1"/>
  <c r="J23" i="6"/>
  <c r="K23" i="6"/>
  <c r="I22" i="6"/>
  <c r="F24" i="6"/>
  <c r="J24" i="6" l="1"/>
  <c r="G24" i="6"/>
  <c r="H24" i="6" s="1"/>
  <c r="K24" i="6"/>
  <c r="F25" i="6"/>
  <c r="I23" i="6"/>
  <c r="K25" i="6" l="1"/>
  <c r="G25" i="6"/>
  <c r="H25" i="6" s="1"/>
  <c r="I24" i="6"/>
  <c r="F26" i="6"/>
  <c r="K26" i="6" l="1"/>
  <c r="J26" i="6"/>
  <c r="G26" i="6"/>
  <c r="H26" i="6" s="1"/>
  <c r="F27" i="6"/>
  <c r="I25" i="6"/>
  <c r="K27" i="6" l="1"/>
  <c r="J27" i="6"/>
  <c r="G27" i="6"/>
  <c r="H27" i="6" s="1"/>
  <c r="F28" i="6"/>
  <c r="I26" i="6"/>
  <c r="K28" i="6" l="1"/>
  <c r="J28" i="6"/>
  <c r="G28" i="6"/>
  <c r="H28" i="6" s="1"/>
  <c r="I27" i="6"/>
  <c r="F29" i="6"/>
  <c r="J29" i="6" l="1"/>
  <c r="G29" i="6"/>
  <c r="H29" i="6" s="1"/>
  <c r="F30" i="6"/>
  <c r="I28" i="6"/>
  <c r="K30" i="6" l="1"/>
  <c r="J30" i="6"/>
  <c r="G30" i="6"/>
  <c r="H30" i="6" s="1"/>
  <c r="I29" i="6"/>
  <c r="F31" i="6"/>
  <c r="K31" i="6" l="1"/>
  <c r="J31" i="6"/>
  <c r="G31" i="6"/>
  <c r="H31" i="6" s="1"/>
  <c r="F32" i="6"/>
  <c r="I30" i="6"/>
  <c r="K32" i="6" l="1"/>
  <c r="J32" i="6"/>
  <c r="G32" i="6"/>
  <c r="H32" i="6" s="1"/>
  <c r="I31" i="6"/>
  <c r="F33" i="6"/>
  <c r="J33" i="6" l="1"/>
  <c r="G33" i="6"/>
  <c r="H33" i="6" s="1"/>
  <c r="F34" i="6"/>
  <c r="I32" i="6"/>
  <c r="K34" i="6" l="1"/>
  <c r="J34" i="6"/>
  <c r="G34" i="6"/>
  <c r="H34" i="6" s="1"/>
  <c r="F35" i="6"/>
  <c r="I33" i="6"/>
  <c r="K35" i="6" l="1"/>
  <c r="J35" i="6"/>
  <c r="G35" i="6"/>
  <c r="H35" i="6" s="1"/>
  <c r="I34" i="6"/>
  <c r="F36" i="6"/>
  <c r="J36" i="6" l="1"/>
  <c r="K36" i="6"/>
  <c r="G36" i="6"/>
  <c r="H36" i="6" s="1"/>
  <c r="I35" i="6"/>
  <c r="F37" i="6"/>
  <c r="G37" i="6" l="1"/>
  <c r="H37" i="6" s="1"/>
  <c r="J37" i="6"/>
  <c r="I36" i="6"/>
  <c r="F38" i="6"/>
  <c r="G38" i="6" l="1"/>
  <c r="H38" i="6" s="1"/>
  <c r="J38" i="6"/>
  <c r="K38" i="6"/>
  <c r="F39" i="6"/>
  <c r="I37" i="6"/>
  <c r="G39" i="6" l="1"/>
  <c r="H39" i="6" s="1"/>
  <c r="J39" i="6"/>
  <c r="K39" i="6"/>
  <c r="I38" i="6"/>
  <c r="F40" i="6"/>
  <c r="J40" i="6" l="1"/>
  <c r="G40" i="6"/>
  <c r="H40" i="6" s="1"/>
  <c r="K40" i="6"/>
  <c r="F41" i="6"/>
  <c r="I39" i="6"/>
  <c r="K41" i="6" l="1"/>
  <c r="J41" i="6"/>
  <c r="G41" i="6"/>
  <c r="H41" i="6" s="1"/>
  <c r="G6" i="6" s="1"/>
  <c r="I40" i="6"/>
  <c r="K13" i="6" l="1"/>
  <c r="K17" i="6"/>
  <c r="K21" i="6"/>
  <c r="J25" i="6"/>
  <c r="K29" i="6"/>
  <c r="K33" i="6"/>
  <c r="K37" i="6"/>
  <c r="I41" i="6"/>
  <c r="E41" i="5" l="1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F5" i="5"/>
  <c r="F2" i="5"/>
  <c r="H3" i="4"/>
  <c r="I3" i="4"/>
  <c r="G3" i="4"/>
  <c r="E17" i="4"/>
  <c r="I13" i="4" s="1"/>
  <c r="D17" i="4"/>
  <c r="H11" i="4" s="1"/>
  <c r="C17" i="4"/>
  <c r="G11" i="4" s="1"/>
  <c r="K11" i="4" s="1"/>
  <c r="I16" i="4"/>
  <c r="H16" i="4"/>
  <c r="G16" i="4"/>
  <c r="K16" i="4" s="1"/>
  <c r="I14" i="4"/>
  <c r="H14" i="4"/>
  <c r="G14" i="4"/>
  <c r="K14" i="4" s="1"/>
  <c r="I12" i="4"/>
  <c r="H12" i="4"/>
  <c r="G12" i="4"/>
  <c r="K12" i="4" s="1"/>
  <c r="I11" i="4"/>
  <c r="I10" i="4"/>
  <c r="H10" i="4"/>
  <c r="G10" i="4"/>
  <c r="K10" i="4" s="1"/>
  <c r="I9" i="4"/>
  <c r="H9" i="4"/>
  <c r="G9" i="4"/>
  <c r="K9" i="4" s="1"/>
  <c r="I7" i="4"/>
  <c r="H7" i="4"/>
  <c r="G7" i="4"/>
  <c r="K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6" i="4"/>
  <c r="I5" i="4"/>
  <c r="H5" i="4"/>
  <c r="G5" i="4"/>
  <c r="F6" i="3"/>
  <c r="F9" i="3" s="1"/>
  <c r="F3" i="3"/>
  <c r="G5" i="3" l="1"/>
  <c r="F6" i="5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K5" i="4"/>
  <c r="G8" i="4"/>
  <c r="H8" i="4"/>
  <c r="H17" i="4" s="1"/>
  <c r="G15" i="4"/>
  <c r="K15" i="4" s="1"/>
  <c r="G6" i="4"/>
  <c r="K6" i="4" s="1"/>
  <c r="I8" i="4"/>
  <c r="H15" i="4"/>
  <c r="H6" i="4"/>
  <c r="G13" i="4"/>
  <c r="I15" i="4"/>
  <c r="I6" i="4"/>
  <c r="I17" i="4" s="1"/>
  <c r="H13" i="4"/>
  <c r="F11" i="3"/>
  <c r="F10" i="3" s="1"/>
  <c r="F12" i="3" s="1"/>
  <c r="G6" i="3"/>
  <c r="G13" i="3" s="1"/>
  <c r="F13" i="3"/>
  <c r="F19" i="3" s="1"/>
  <c r="F21" i="3" s="1"/>
  <c r="G3" i="3"/>
  <c r="K8" i="4" l="1"/>
  <c r="K13" i="4"/>
  <c r="G17" i="4"/>
  <c r="H5" i="3"/>
  <c r="G9" i="3"/>
  <c r="K17" i="4" l="1"/>
  <c r="L8" i="4"/>
  <c r="N8" i="4" s="1"/>
  <c r="G11" i="3"/>
  <c r="G10" i="3" s="1"/>
  <c r="G12" i="3" s="1"/>
  <c r="G19" i="3"/>
  <c r="G21" i="3" s="1"/>
  <c r="H3" i="3"/>
  <c r="H6" i="3"/>
  <c r="H9" i="3"/>
  <c r="L10" i="4" l="1"/>
  <c r="N10" i="4" s="1"/>
  <c r="L12" i="4"/>
  <c r="N12" i="4" s="1"/>
  <c r="L14" i="4"/>
  <c r="N14" i="4" s="1"/>
  <c r="L7" i="4"/>
  <c r="N7" i="4" s="1"/>
  <c r="L16" i="4"/>
  <c r="L9" i="4"/>
  <c r="N9" i="4" s="1"/>
  <c r="L11" i="4"/>
  <c r="N11" i="4" s="1"/>
  <c r="L6" i="4"/>
  <c r="N6" i="4" s="1"/>
  <c r="L15" i="4"/>
  <c r="N15" i="4" s="1"/>
  <c r="L5" i="4"/>
  <c r="L13" i="4"/>
  <c r="N13" i="4" s="1"/>
  <c r="H11" i="3"/>
  <c r="H10" i="3" s="1"/>
  <c r="H12" i="3" s="1"/>
  <c r="I5" i="3"/>
  <c r="H13" i="3"/>
  <c r="H19" i="3" s="1"/>
  <c r="H21" i="3" s="1"/>
  <c r="L17" i="4" l="1"/>
  <c r="N5" i="4"/>
  <c r="I3" i="3"/>
  <c r="I6" i="3"/>
  <c r="I9" i="3"/>
  <c r="N16" i="4" l="1"/>
  <c r="N17" i="4" s="1"/>
  <c r="I11" i="3"/>
  <c r="I10" i="3" s="1"/>
  <c r="I12" i="3" s="1"/>
  <c r="J5" i="3"/>
  <c r="I13" i="3"/>
  <c r="I19" i="3" s="1"/>
  <c r="I21" i="3" s="1"/>
  <c r="J3" i="3" l="1"/>
  <c r="J6" i="3"/>
  <c r="J9" i="3"/>
  <c r="J11" i="3" l="1"/>
  <c r="J10" i="3" s="1"/>
  <c r="J12" i="3" s="1"/>
  <c r="K5" i="3"/>
  <c r="J13" i="3"/>
  <c r="J19" i="3" s="1"/>
  <c r="J21" i="3" s="1"/>
  <c r="K3" i="3" l="1"/>
  <c r="K6" i="3"/>
  <c r="K9" i="3"/>
  <c r="K11" i="3" l="1"/>
  <c r="K10" i="3" s="1"/>
  <c r="K12" i="3" s="1"/>
  <c r="L5" i="3"/>
  <c r="K13" i="3"/>
  <c r="K19" i="3" s="1"/>
  <c r="K21" i="3" s="1"/>
  <c r="L24" i="3" s="1"/>
  <c r="L6" i="3" l="1"/>
  <c r="L9" i="3"/>
  <c r="L13" i="3"/>
  <c r="L3" i="3"/>
  <c r="L23" i="3" l="1"/>
  <c r="L25" i="3" s="1"/>
  <c r="L11" i="3"/>
  <c r="L10" i="3" s="1"/>
  <c r="L12" i="3" s="1"/>
  <c r="Q8" i="2" l="1"/>
  <c r="Q7" i="2"/>
  <c r="Q5" i="2"/>
  <c r="N5" i="2"/>
  <c r="M5" i="2"/>
  <c r="L5" i="2"/>
  <c r="K5" i="2"/>
  <c r="Q3" i="2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6" i="1"/>
</calcChain>
</file>

<file path=xl/sharedStrings.xml><?xml version="1.0" encoding="utf-8"?>
<sst xmlns="http://schemas.openxmlformats.org/spreadsheetml/2006/main" count="85" uniqueCount="75">
  <si>
    <t>Day</t>
  </si>
  <si>
    <t>Milk sold</t>
  </si>
  <si>
    <t>The Corner Shop</t>
  </si>
  <si>
    <t>Average</t>
  </si>
  <si>
    <t>Median</t>
  </si>
  <si>
    <t>Mode</t>
  </si>
  <si>
    <t>Product sales</t>
  </si>
  <si>
    <t>=Forecast</t>
  </si>
  <si>
    <t>=FORECAST(K3,C4:J4,C3:J3)</t>
  </si>
  <si>
    <t>Sales</t>
  </si>
  <si>
    <t>Forecast</t>
  </si>
  <si>
    <t>=Trend</t>
  </si>
  <si>
    <t>=TREND(C4:J4,C3:J3,K3)</t>
  </si>
  <si>
    <t>=Slope</t>
  </si>
  <si>
    <t>=SLOPE(C4:J4,C3:J3)</t>
  </si>
  <si>
    <t>=Intercept</t>
  </si>
  <si>
    <t>=INTERCEPT(C4:J4,C3:J3)</t>
  </si>
  <si>
    <t>Month 9 = (9* 11.08333) -3 = 96.75</t>
  </si>
  <si>
    <t>Sales Forecasting</t>
  </si>
  <si>
    <t>Bank Holidays</t>
  </si>
  <si>
    <t>Sun</t>
  </si>
  <si>
    <t>Mon</t>
  </si>
  <si>
    <t>Start</t>
  </si>
  <si>
    <t>Tue</t>
  </si>
  <si>
    <t>Finish</t>
  </si>
  <si>
    <t>Wed</t>
  </si>
  <si>
    <t>Thu</t>
  </si>
  <si>
    <t>Fri</t>
  </si>
  <si>
    <t>Working days</t>
  </si>
  <si>
    <t>Sat</t>
  </si>
  <si>
    <t>Weekends</t>
  </si>
  <si>
    <t>Bank holidays</t>
  </si>
  <si>
    <t>Saturdays</t>
  </si>
  <si>
    <t>Working day</t>
  </si>
  <si>
    <t>Sales percentage</t>
  </si>
  <si>
    <t>Actual Sales</t>
  </si>
  <si>
    <t>Sales per working day</t>
  </si>
  <si>
    <t>Forecast percentage</t>
  </si>
  <si>
    <t>Average per working day</t>
  </si>
  <si>
    <t>Forecast sales</t>
  </si>
  <si>
    <t>Data Seasonalisation</t>
  </si>
  <si>
    <t>Round to 2 places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</si>
  <si>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</si>
  <si>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</si>
  <si>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</si>
  <si>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</si>
  <si>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</si>
  <si>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</si>
  <si>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</si>
  <si>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</si>
  <si>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</si>
  <si>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</si>
  <si>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</si>
  <si>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</si>
  <si>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 per day</t>
  </si>
  <si>
    <t>Data</t>
  </si>
  <si>
    <t>7 day moving average</t>
  </si>
  <si>
    <t>Weighted average</t>
  </si>
  <si>
    <t>Exponential smoothing</t>
  </si>
  <si>
    <t>As percentages</t>
  </si>
  <si>
    <t>Monte Carlo data</t>
  </si>
  <si>
    <t>Number</t>
  </si>
  <si>
    <t>NPV</t>
  </si>
  <si>
    <t>IRR</t>
  </si>
  <si>
    <t>Payback</t>
  </si>
  <si>
    <t>1 SD</t>
  </si>
  <si>
    <t>% Unacceptable</t>
  </si>
  <si>
    <t>Mean</t>
  </si>
  <si>
    <t>SD</t>
  </si>
  <si>
    <t>Max probability</t>
  </si>
  <si>
    <t>Amount</t>
  </si>
  <si>
    <t>Normal shape</t>
  </si>
  <si>
    <t>Negative NPV</t>
  </si>
  <si>
    <t>Actual Results</t>
  </si>
  <si>
    <t>2025 Budget (to nearest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</si>
</sst>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\ mmm\ yy"/>
    <numFmt numFmtId="166" formatCode="#,##0_);\(#,##0\);"/>
    <numFmt numFmtId="167" formatCode="#,##0.0_);\(#,##0.0\);"/>
    <numFmt numFmtId="168" formatCode="#,##0.0%;\-#,##0.0%;"/>
  </numFmts>
  <fonts count="1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sz val="11"/>
      <name val="Arial"/>
    </font>
    <font>
      <sz val="11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37" fontId="13" fillId="3" borderId="2" applyNumberFormat="0" applyBorder="0" applyAlignment="0" applyProtection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6" fillId="0" borderId="0" xfId="0" quotePrefix="1" applyFont="1"/>
    <xf numFmtId="0" fontId="0" fillId="0" borderId="0" xfId="0" quotePrefix="1"/>
    <xf numFmtId="164" fontId="0" fillId="0" borderId="0" xfId="1" quotePrefix="1" applyNumberFormat="1" applyFont="1"/>
    <xf numFmtId="0" fontId="8" fillId="0" borderId="0" xfId="0" applyFont="1"/>
    <xf numFmtId="0" fontId="1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165" fontId="0" fillId="0" borderId="0" xfId="0" applyNumberFormat="1"/>
    <xf numFmtId="0" fontId="0" fillId="0" borderId="1" xfId="0" quotePrefix="1" applyBorder="1"/>
    <xf numFmtId="9" fontId="0" fillId="0" borderId="0" xfId="0" applyNumberFormat="1"/>
    <xf numFmtId="9" fontId="0" fillId="0" borderId="0" xfId="2" applyFont="1"/>
    <xf numFmtId="43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4" fontId="0" fillId="0" borderId="1" xfId="0" applyNumberFormat="1" applyBorder="1"/>
    <xf numFmtId="10" fontId="0" fillId="0" borderId="1" xfId="2" applyNumberFormat="1" applyFont="1" applyBorder="1"/>
    <xf numFmtId="3" fontId="0" fillId="0" borderId="1" xfId="0" applyNumberFormat="1" applyBorder="1"/>
    <xf numFmtId="9" fontId="0" fillId="0" borderId="1" xfId="0" applyNumberFormat="1" applyBorder="1"/>
    <xf numFmtId="0" fontId="1" fillId="0" borderId="0" xfId="0" applyFont="1" applyAlignment="1">
      <alignment horizontal="center" wrapText="1"/>
    </xf>
    <xf numFmtId="168" fontId="13" fillId="0" borderId="0" xfId="4" applyNumberFormat="1" applyFont="1"/>
    <xf numFmtId="168" fontId="14" fillId="0" borderId="0" xfId="4" applyNumberFormat="1" applyFont="1"/>
    <xf numFmtId="166" fontId="13" fillId="0" borderId="0" xfId="1" applyNumberFormat="1" applyFont="1"/>
    <xf numFmtId="167" fontId="13" fillId="0" borderId="0" xfId="1" applyNumberFormat="1" applyFont="1"/>
    <xf numFmtId="0" fontId="13" fillId="0" borderId="0" xfId="0" applyFont="1"/>
    <xf numFmtId="0" fontId="14" fillId="0" borderId="0" xfId="0" applyFont="1"/>
    <xf numFmtId="166" fontId="14" fillId="0" borderId="0" xfId="1" applyNumberFormat="1" applyFont="1"/>
    <xf numFmtId="167" fontId="14" fillId="0" borderId="0" xfId="1" applyNumberFormat="1" applyFont="1"/>
    <xf numFmtId="168" fontId="13" fillId="0" borderId="0" xfId="1" applyNumberFormat="1" applyFont="1"/>
    <xf numFmtId="0" fontId="15" fillId="0" borderId="0" xfId="0" applyFont="1"/>
    <xf numFmtId="37" fontId="12" fillId="0" borderId="0" xfId="0" applyNumberFormat="1" applyFont="1"/>
    <xf numFmtId="43" fontId="13" fillId="0" borderId="0" xfId="1" applyFont="1"/>
    <xf numFmtId="37" fontId="13" fillId="0" borderId="0" xfId="0" applyNumberFormat="1" applyFont="1"/>
    <xf numFmtId="0" fontId="14" fillId="4" borderId="0" xfId="0" applyFont="1" applyFill="1" applyAlignment="1">
      <alignment horizontal="center" wrapText="1"/>
    </xf>
  </cellXfs>
  <cellStyles count="7">
    <cellStyle name="Comma" xfId="1" builtinId="3"/>
    <cellStyle name="Comma 2" xfId="6" xr:uid="{8F10FE5B-DEB0-4FDA-8A5C-CA19A08DA99F}"/>
    <cellStyle name="Normal" xfId="0" builtinId="0"/>
    <cellStyle name="Normal 2" xfId="3" xr:uid="{ED7C927D-21F0-4D82-9BC1-B5A92EC8F3DC}"/>
    <cellStyle name="Per cent" xfId="2" builtinId="5"/>
    <cellStyle name="Per cent 2" xfId="4" xr:uid="{7DF837BA-85C5-424E-BDFE-72D89F0EA850}"/>
    <cellStyle name="Style 1" xfId="5" xr:uid="{877E79BD-AC07-47CD-AC41-1FA789961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Moving Average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03376411311112"/>
          <c:y val="0.13701160682923577"/>
          <c:w val="0.82144486616822587"/>
          <c:h val="0.71236882385668754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'Moving Averages'!$D$5:$D$29</c:f>
              <c:numCache>
                <c:formatCode>General</c:formatCode>
                <c:ptCount val="25"/>
                <c:pt idx="0">
                  <c:v>85</c:v>
                </c:pt>
                <c:pt idx="1">
                  <c:v>96</c:v>
                </c:pt>
                <c:pt idx="2">
                  <c:v>108</c:v>
                </c:pt>
                <c:pt idx="3">
                  <c:v>78</c:v>
                </c:pt>
                <c:pt idx="4">
                  <c:v>87</c:v>
                </c:pt>
                <c:pt idx="5">
                  <c:v>93</c:v>
                </c:pt>
                <c:pt idx="6">
                  <c:v>93</c:v>
                </c:pt>
                <c:pt idx="7">
                  <c:v>92</c:v>
                </c:pt>
                <c:pt idx="8">
                  <c:v>96</c:v>
                </c:pt>
                <c:pt idx="9">
                  <c:v>86</c:v>
                </c:pt>
                <c:pt idx="10">
                  <c:v>110</c:v>
                </c:pt>
                <c:pt idx="11">
                  <c:v>96</c:v>
                </c:pt>
                <c:pt idx="12">
                  <c:v>92</c:v>
                </c:pt>
                <c:pt idx="13">
                  <c:v>86</c:v>
                </c:pt>
                <c:pt idx="14">
                  <c:v>102</c:v>
                </c:pt>
                <c:pt idx="15">
                  <c:v>99</c:v>
                </c:pt>
                <c:pt idx="16">
                  <c:v>83</c:v>
                </c:pt>
                <c:pt idx="17">
                  <c:v>106</c:v>
                </c:pt>
                <c:pt idx="18">
                  <c:v>98</c:v>
                </c:pt>
                <c:pt idx="19">
                  <c:v>92</c:v>
                </c:pt>
                <c:pt idx="20">
                  <c:v>104</c:v>
                </c:pt>
                <c:pt idx="21">
                  <c:v>89</c:v>
                </c:pt>
                <c:pt idx="22">
                  <c:v>82</c:v>
                </c:pt>
                <c:pt idx="23">
                  <c:v>88</c:v>
                </c:pt>
                <c:pt idx="2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2-4FEB-8663-FD2C0185EF36}"/>
            </c:ext>
          </c:extLst>
        </c:ser>
        <c:ser>
          <c:idx val="1"/>
          <c:order val="1"/>
          <c:tx>
            <c:v>7 Day smoothing</c:v>
          </c:tx>
          <c:val>
            <c:numRef>
              <c:f>'Moving Averages'!$E$5:$E$29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91.428571428571431</c:v>
                </c:pt>
                <c:pt idx="7">
                  <c:v>92.428571428571431</c:v>
                </c:pt>
                <c:pt idx="8">
                  <c:v>92.428571428571431</c:v>
                </c:pt>
                <c:pt idx="9">
                  <c:v>89.285714285714292</c:v>
                </c:pt>
                <c:pt idx="10">
                  <c:v>93.857142857142861</c:v>
                </c:pt>
                <c:pt idx="11">
                  <c:v>95.142857142857139</c:v>
                </c:pt>
                <c:pt idx="12">
                  <c:v>95</c:v>
                </c:pt>
                <c:pt idx="13">
                  <c:v>94</c:v>
                </c:pt>
                <c:pt idx="14">
                  <c:v>95.428571428571431</c:v>
                </c:pt>
                <c:pt idx="15">
                  <c:v>95.857142857142861</c:v>
                </c:pt>
                <c:pt idx="16">
                  <c:v>95.428571428571431</c:v>
                </c:pt>
                <c:pt idx="17">
                  <c:v>94.857142857142861</c:v>
                </c:pt>
                <c:pt idx="18">
                  <c:v>95.142857142857139</c:v>
                </c:pt>
                <c:pt idx="19">
                  <c:v>95.142857142857139</c:v>
                </c:pt>
                <c:pt idx="20">
                  <c:v>97.714285714285708</c:v>
                </c:pt>
                <c:pt idx="21">
                  <c:v>95.857142857142861</c:v>
                </c:pt>
                <c:pt idx="22">
                  <c:v>93.428571428571431</c:v>
                </c:pt>
                <c:pt idx="23">
                  <c:v>94.142857142857139</c:v>
                </c:pt>
                <c:pt idx="24">
                  <c:v>92.714285714285708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2-4FEB-8663-FD2C0185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852400"/>
        <c:axId val="334859600"/>
      </c:lineChart>
      <c:catAx>
        <c:axId val="33485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Day</a:t>
                </a:r>
              </a:p>
            </c:rich>
          </c:tx>
          <c:overlay val="0"/>
        </c:title>
        <c:majorTickMark val="out"/>
        <c:minorTickMark val="none"/>
        <c:tickLblPos val="nextTo"/>
        <c:crossAx val="334859600"/>
        <c:crosses val="autoZero"/>
        <c:auto val="1"/>
        <c:lblAlgn val="ctr"/>
        <c:lblOffset val="100"/>
        <c:noMultiLvlLbl val="0"/>
      </c:catAx>
      <c:valAx>
        <c:axId val="334859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4852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560678785379007"/>
          <c:y val="0.6511010719715713"/>
          <c:w val="0.22057611439371361"/>
          <c:h val="0.1177620125682962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'Smoothing Averages'!$C$4</c:f>
              <c:strCache>
                <c:ptCount val="1"/>
                <c:pt idx="0">
                  <c:v>Data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'Smoothing Averages'!$B$5:$B$29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'Smoothing Averages'!$C$5:$C$29</c:f>
              <c:numCache>
                <c:formatCode>General</c:formatCode>
                <c:ptCount val="25"/>
                <c:pt idx="0">
                  <c:v>85</c:v>
                </c:pt>
                <c:pt idx="1">
                  <c:v>96</c:v>
                </c:pt>
                <c:pt idx="2">
                  <c:v>98</c:v>
                </c:pt>
                <c:pt idx="3">
                  <c:v>88</c:v>
                </c:pt>
                <c:pt idx="4">
                  <c:v>87</c:v>
                </c:pt>
                <c:pt idx="5">
                  <c:v>93</c:v>
                </c:pt>
                <c:pt idx="6">
                  <c:v>93</c:v>
                </c:pt>
                <c:pt idx="7">
                  <c:v>96</c:v>
                </c:pt>
                <c:pt idx="8">
                  <c:v>96</c:v>
                </c:pt>
                <c:pt idx="9">
                  <c:v>106</c:v>
                </c:pt>
                <c:pt idx="10">
                  <c:v>110</c:v>
                </c:pt>
                <c:pt idx="11">
                  <c:v>107</c:v>
                </c:pt>
                <c:pt idx="12">
                  <c:v>123</c:v>
                </c:pt>
                <c:pt idx="13">
                  <c:v>116</c:v>
                </c:pt>
                <c:pt idx="14">
                  <c:v>122</c:v>
                </c:pt>
                <c:pt idx="15">
                  <c:v>129</c:v>
                </c:pt>
                <c:pt idx="16">
                  <c:v>116</c:v>
                </c:pt>
                <c:pt idx="17">
                  <c:v>131</c:v>
                </c:pt>
                <c:pt idx="18">
                  <c:v>133</c:v>
                </c:pt>
                <c:pt idx="19">
                  <c:v>126</c:v>
                </c:pt>
                <c:pt idx="20">
                  <c:v>141</c:v>
                </c:pt>
                <c:pt idx="21">
                  <c:v>136</c:v>
                </c:pt>
                <c:pt idx="22">
                  <c:v>134</c:v>
                </c:pt>
                <c:pt idx="23">
                  <c:v>145</c:v>
                </c:pt>
                <c:pt idx="24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C-41B7-8A09-1BC44175AA3F}"/>
            </c:ext>
          </c:extLst>
        </c:ser>
        <c:ser>
          <c:idx val="1"/>
          <c:order val="1"/>
          <c:tx>
            <c:strRef>
              <c:f>'Smoothing Averages'!$D$4</c:f>
              <c:strCache>
                <c:ptCount val="1"/>
                <c:pt idx="0">
                  <c:v>7 day moving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'Smoothing Averages'!$B$5:$B$29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'Smoothing Averages'!$D$5:$D$29</c:f>
              <c:numCache>
                <c:formatCode>General</c:formatCode>
                <c:ptCount val="25"/>
                <c:pt idx="6">
                  <c:v>91.428571428571431</c:v>
                </c:pt>
                <c:pt idx="7">
                  <c:v>93</c:v>
                </c:pt>
                <c:pt idx="8">
                  <c:v>93</c:v>
                </c:pt>
                <c:pt idx="9">
                  <c:v>94.142857142857139</c:v>
                </c:pt>
                <c:pt idx="10">
                  <c:v>97.285714285714292</c:v>
                </c:pt>
                <c:pt idx="11">
                  <c:v>100.14285714285714</c:v>
                </c:pt>
                <c:pt idx="12">
                  <c:v>104.42857142857143</c:v>
                </c:pt>
                <c:pt idx="13">
                  <c:v>107.71428571428571</c:v>
                </c:pt>
                <c:pt idx="14">
                  <c:v>111.42857142857143</c:v>
                </c:pt>
                <c:pt idx="15">
                  <c:v>116.14285714285714</c:v>
                </c:pt>
                <c:pt idx="16">
                  <c:v>117.57142857142857</c:v>
                </c:pt>
                <c:pt idx="17">
                  <c:v>120.57142857142857</c:v>
                </c:pt>
                <c:pt idx="18">
                  <c:v>124.28571428571429</c:v>
                </c:pt>
                <c:pt idx="19">
                  <c:v>124.71428571428571</c:v>
                </c:pt>
                <c:pt idx="20">
                  <c:v>128.28571428571428</c:v>
                </c:pt>
                <c:pt idx="21">
                  <c:v>130.28571428571428</c:v>
                </c:pt>
                <c:pt idx="22">
                  <c:v>131</c:v>
                </c:pt>
                <c:pt idx="23">
                  <c:v>135.14285714285714</c:v>
                </c:pt>
                <c:pt idx="24">
                  <c:v>136.42857142857142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C-41B7-8A09-1BC44175AA3F}"/>
            </c:ext>
          </c:extLst>
        </c:ser>
        <c:ser>
          <c:idx val="2"/>
          <c:order val="2"/>
          <c:tx>
            <c:strRef>
              <c:f>'Smoothing Averages'!$E$4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'Smoothing Averages'!$B$5:$B$29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'Smoothing Averages'!$E$5:$E$29</c:f>
              <c:numCache>
                <c:formatCode>General</c:formatCode>
                <c:ptCount val="25"/>
                <c:pt idx="6">
                  <c:v>91.56</c:v>
                </c:pt>
                <c:pt idx="7">
                  <c:v>93.29</c:v>
                </c:pt>
                <c:pt idx="8">
                  <c:v>94.13</c:v>
                </c:pt>
                <c:pt idx="9">
                  <c:v>97.8</c:v>
                </c:pt>
                <c:pt idx="10">
                  <c:v>102.07000000000001</c:v>
                </c:pt>
                <c:pt idx="11">
                  <c:v>104.56</c:v>
                </c:pt>
                <c:pt idx="12">
                  <c:v>110.56</c:v>
                </c:pt>
                <c:pt idx="13">
                  <c:v>113.05</c:v>
                </c:pt>
                <c:pt idx="14">
                  <c:v>116.78</c:v>
                </c:pt>
                <c:pt idx="15">
                  <c:v>120.87</c:v>
                </c:pt>
                <c:pt idx="16">
                  <c:v>120.31</c:v>
                </c:pt>
                <c:pt idx="17">
                  <c:v>123.78</c:v>
                </c:pt>
                <c:pt idx="18">
                  <c:v>126.78</c:v>
                </c:pt>
                <c:pt idx="19">
                  <c:v>127.46</c:v>
                </c:pt>
                <c:pt idx="20">
                  <c:v>131.73000000000002</c:v>
                </c:pt>
                <c:pt idx="21">
                  <c:v>133.38999999999999</c:v>
                </c:pt>
                <c:pt idx="22">
                  <c:v>134.34</c:v>
                </c:pt>
                <c:pt idx="23">
                  <c:v>137.69999999999999</c:v>
                </c:pt>
                <c:pt idx="24">
                  <c:v>138.81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C-41B7-8A09-1BC44175AA3F}"/>
            </c:ext>
          </c:extLst>
        </c:ser>
        <c:ser>
          <c:idx val="3"/>
          <c:order val="3"/>
          <c:tx>
            <c:strRef>
              <c:f>'Smoothing Averages'!$F$4</c:f>
              <c:strCache>
                <c:ptCount val="1"/>
                <c:pt idx="0">
                  <c:v>Exponential smoothing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'Smoothing Averages'!$B$5:$B$29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'Smoothing Averages'!$F$5:$F$29</c:f>
              <c:numCache>
                <c:formatCode>General</c:formatCode>
                <c:ptCount val="25"/>
                <c:pt idx="0">
                  <c:v>85</c:v>
                </c:pt>
                <c:pt idx="1">
                  <c:v>90.5</c:v>
                </c:pt>
                <c:pt idx="2">
                  <c:v>94.25</c:v>
                </c:pt>
                <c:pt idx="3">
                  <c:v>91.125</c:v>
                </c:pt>
                <c:pt idx="4">
                  <c:v>89.0625</c:v>
                </c:pt>
                <c:pt idx="5">
                  <c:v>91.03125</c:v>
                </c:pt>
                <c:pt idx="6">
                  <c:v>92.015625</c:v>
                </c:pt>
                <c:pt idx="7">
                  <c:v>94.0078125</c:v>
                </c:pt>
                <c:pt idx="8">
                  <c:v>95.00390625</c:v>
                </c:pt>
                <c:pt idx="9">
                  <c:v>100.501953125</c:v>
                </c:pt>
                <c:pt idx="10">
                  <c:v>105.2509765625</c:v>
                </c:pt>
                <c:pt idx="11">
                  <c:v>106.12548828125</c:v>
                </c:pt>
                <c:pt idx="12">
                  <c:v>114.562744140625</c:v>
                </c:pt>
                <c:pt idx="13">
                  <c:v>115.2813720703125</c:v>
                </c:pt>
                <c:pt idx="14">
                  <c:v>118.64068603515625</c:v>
                </c:pt>
                <c:pt idx="15">
                  <c:v>123.82034301757813</c:v>
                </c:pt>
                <c:pt idx="16">
                  <c:v>119.91017150878906</c:v>
                </c:pt>
                <c:pt idx="17">
                  <c:v>125.45508575439453</c:v>
                </c:pt>
                <c:pt idx="18">
                  <c:v>129.22754287719727</c:v>
                </c:pt>
                <c:pt idx="19">
                  <c:v>127.61377143859863</c:v>
                </c:pt>
                <c:pt idx="20">
                  <c:v>134.30688571929932</c:v>
                </c:pt>
                <c:pt idx="21">
                  <c:v>135.15344285964966</c:v>
                </c:pt>
                <c:pt idx="22">
                  <c:v>134.57672142982483</c:v>
                </c:pt>
                <c:pt idx="23">
                  <c:v>139.78836071491241</c:v>
                </c:pt>
                <c:pt idx="24">
                  <c:v>139.89418035745621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2C-41B7-8A09-1BC44175A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0032400"/>
        <c:axId val="830469984"/>
      </c:lineChart>
      <c:catAx>
        <c:axId val="95003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469984"/>
        <c:crosses val="autoZero"/>
        <c:auto val="1"/>
        <c:lblAlgn val="ctr"/>
        <c:lblOffset val="100"/>
        <c:noMultiLvlLbl val="0"/>
      </c:catAx>
      <c:valAx>
        <c:axId val="83046998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03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Regression!$B$4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701545276511914"/>
                  <c:y val="-3.39601481003518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Regression!$C$3:$J$3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Regression!$C$4:$J$4</c:f>
              <c:numCache>
                <c:formatCode>General</c:formatCode>
                <c:ptCount val="8"/>
                <c:pt idx="0">
                  <c:v>10</c:v>
                </c:pt>
                <c:pt idx="1">
                  <c:v>18</c:v>
                </c:pt>
                <c:pt idx="2">
                  <c:v>32</c:v>
                </c:pt>
                <c:pt idx="3">
                  <c:v>38</c:v>
                </c:pt>
                <c:pt idx="4">
                  <c:v>54</c:v>
                </c:pt>
                <c:pt idx="5">
                  <c:v>60</c:v>
                </c:pt>
                <c:pt idx="6">
                  <c:v>75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7-44A6-A0B9-8EA25C9A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806224"/>
        <c:axId val="830782704"/>
      </c:lineChart>
      <c:catAx>
        <c:axId val="83080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82704"/>
        <c:crosses val="autoZero"/>
        <c:auto val="1"/>
        <c:lblAlgn val="ctr"/>
        <c:lblOffset val="100"/>
        <c:noMultiLvlLbl val="0"/>
      </c:catAx>
      <c:valAx>
        <c:axId val="8307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80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1"/>
          <c:tx>
            <c:strRef>
              <c:f>'Scenario Data'!$I$8</c:f>
              <c:strCache>
                <c:ptCount val="1"/>
                <c:pt idx="0">
                  <c:v>Negative NPV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'Scenario Data'!$F$9:$F$41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'Scenario Data'!$I$9:$I$41</c:f>
              <c:numCache>
                <c:formatCode>General</c:formatCode>
                <c:ptCount val="33"/>
                <c:pt idx="0">
                  <c:v>3.7493094500479598E-10</c:v>
                </c:pt>
                <c:pt idx="1">
                  <c:v>9.8781147262566923E-10</c:v>
                </c:pt>
                <c:pt idx="2">
                  <c:v>2.4448568749907112E-9</c:v>
                </c:pt>
                <c:pt idx="3">
                  <c:v>5.6844625437608265E-9</c:v>
                </c:pt>
                <c:pt idx="4">
                  <c:v>1.2416007697133408E-8</c:v>
                </c:pt>
                <c:pt idx="5">
                  <c:v>2.5475993653119022E-8</c:v>
                </c:pt>
                <c:pt idx="6">
                  <c:v>4.9106263034535159E-8</c:v>
                </c:pt>
                <c:pt idx="7">
                  <c:v>8.8919955031506675E-8</c:v>
                </c:pt>
                <c:pt idx="8">
                  <c:v>1.5125793878637589E-7</c:v>
                </c:pt>
                <c:pt idx="9">
                  <c:v>2.4170949794954007E-7</c:v>
                </c:pt>
                <c:pt idx="10">
                  <c:v>3.6284893237102456E-7</c:v>
                </c:pt>
                <c:pt idx="11">
                  <c:v>5.1169901117461756E-7</c:v>
                </c:pt>
                <c:pt idx="12">
                  <c:v>6.7789105106076471E-7</c:v>
                </c:pt>
                <c:pt idx="13">
                  <c:v>8.4364904391981434E-7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6-41FF-940B-723522A2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792768"/>
        <c:axId val="268791328"/>
      </c:areaChart>
      <c:barChart>
        <c:barDir val="col"/>
        <c:grouping val="clustered"/>
        <c:varyColors val="0"/>
        <c:ser>
          <c:idx val="3"/>
          <c:order val="2"/>
          <c:tx>
            <c:strRef>
              <c:f>'Scenario Data'!$J$8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'Scenario Data'!$F$9:$F$41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'Scenario Data'!$J$9:$J$41</c:f>
              <c:numCache>
                <c:formatCode>General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1.1999999999999999E-6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6-41FF-940B-723522A281CE}"/>
            </c:ext>
          </c:extLst>
        </c:ser>
        <c:ser>
          <c:idx val="4"/>
          <c:order val="3"/>
          <c:tx>
            <c:strRef>
              <c:f>'Scenario Data'!$K$8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41000"/>
              </a:schemeClr>
            </a:solidFill>
            <a:ln>
              <a:noFill/>
            </a:ln>
            <a:effectLst/>
          </c:spPr>
          <c:invertIfNegative val="0"/>
          <c:cat>
            <c:numRef>
              <c:f>'Scenario Data'!$F$9:$F$41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'Scenario Data'!$K$9:$K$41</c:f>
              <c:numCache>
                <c:formatCode>General</c:formatCode>
                <c:ptCount val="3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1.1999999999999999E-6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1.1999999999999999E-6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1.1999999999999999E-6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1.1999999999999999E-6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1.1999999999999999E-6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1.1999999999999999E-6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6-41FF-940B-723522A2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68792768"/>
        <c:axId val="268791328"/>
      </c:barChart>
      <c:lineChart>
        <c:grouping val="standard"/>
        <c:varyColors val="0"/>
        <c:ser>
          <c:idx val="1"/>
          <c:order val="0"/>
          <c:tx>
            <c:strRef>
              <c:f>'Scenario Data'!$H$8</c:f>
              <c:strCache>
                <c:ptCount val="1"/>
                <c:pt idx="0">
                  <c:v>Normal shape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'Scenario Data'!$G$9:$G$41</c:f>
              <c:numCache>
                <c:formatCode>#,##0_);\(#,##0\)</c:formatCode>
                <c:ptCount val="33"/>
                <c:pt idx="0">
                  <c:v>-1170414.3512518599</c:v>
                </c:pt>
                <c:pt idx="1">
                  <c:v>-1081177.7681237499</c:v>
                </c:pt>
                <c:pt idx="2">
                  <c:v>-991941.18499563984</c:v>
                </c:pt>
                <c:pt idx="3">
                  <c:v>-902704.6018675298</c:v>
                </c:pt>
                <c:pt idx="4">
                  <c:v>-813468.01873941976</c:v>
                </c:pt>
                <c:pt idx="5">
                  <c:v>-724231.43561130972</c:v>
                </c:pt>
                <c:pt idx="6">
                  <c:v>-634994.85248319944</c:v>
                </c:pt>
                <c:pt idx="7">
                  <c:v>-545758.2693550894</c:v>
                </c:pt>
                <c:pt idx="8">
                  <c:v>-456521.68622697942</c:v>
                </c:pt>
                <c:pt idx="9">
                  <c:v>-367285.10309886938</c:v>
                </c:pt>
                <c:pt idx="10">
                  <c:v>-278048.51997075934</c:v>
                </c:pt>
                <c:pt idx="11">
                  <c:v>-188811.93684264919</c:v>
                </c:pt>
                <c:pt idx="12">
                  <c:v>-99575.353714539146</c:v>
                </c:pt>
                <c:pt idx="13">
                  <c:v>-10338.770586429106</c:v>
                </c:pt>
                <c:pt idx="14">
                  <c:v>78897.812541680993</c:v>
                </c:pt>
                <c:pt idx="15">
                  <c:v>168134.39566979106</c:v>
                </c:pt>
                <c:pt idx="16">
                  <c:v>257370.97879790113</c:v>
                </c:pt>
                <c:pt idx="17">
                  <c:v>346607.56192601123</c:v>
                </c:pt>
                <c:pt idx="18">
                  <c:v>435844.14505412127</c:v>
                </c:pt>
                <c:pt idx="19">
                  <c:v>525080.72818223131</c:v>
                </c:pt>
                <c:pt idx="20">
                  <c:v>614317.31131034135</c:v>
                </c:pt>
                <c:pt idx="21">
                  <c:v>703553.89443845139</c:v>
                </c:pt>
                <c:pt idx="22">
                  <c:v>792790.47756656166</c:v>
                </c:pt>
                <c:pt idx="23">
                  <c:v>882027.0606946717</c:v>
                </c:pt>
                <c:pt idx="24">
                  <c:v>971263.64382278174</c:v>
                </c:pt>
                <c:pt idx="25">
                  <c:v>1060500.2269508918</c:v>
                </c:pt>
                <c:pt idx="26">
                  <c:v>1149736.8100790018</c:v>
                </c:pt>
                <c:pt idx="27">
                  <c:v>1238973.3932071119</c:v>
                </c:pt>
                <c:pt idx="28">
                  <c:v>1328209.9763352221</c:v>
                </c:pt>
                <c:pt idx="29">
                  <c:v>1417446.5594633322</c:v>
                </c:pt>
                <c:pt idx="30">
                  <c:v>1506683.1425914422</c:v>
                </c:pt>
                <c:pt idx="31">
                  <c:v>1595919.7257195523</c:v>
                </c:pt>
                <c:pt idx="32">
                  <c:v>1685156.3088476623</c:v>
                </c:pt>
              </c:numCache>
            </c:numRef>
          </c:cat>
          <c:val>
            <c:numRef>
              <c:f>'Scenario Data'!$H$9:$H$41</c:f>
              <c:numCache>
                <c:formatCode>General</c:formatCode>
                <c:ptCount val="33"/>
                <c:pt idx="0">
                  <c:v>3.7493094500479598E-10</c:v>
                </c:pt>
                <c:pt idx="1">
                  <c:v>9.8781147262566923E-10</c:v>
                </c:pt>
                <c:pt idx="2">
                  <c:v>2.4448568749907112E-9</c:v>
                </c:pt>
                <c:pt idx="3">
                  <c:v>5.6844625437608265E-9</c:v>
                </c:pt>
                <c:pt idx="4">
                  <c:v>1.2416007697133408E-8</c:v>
                </c:pt>
                <c:pt idx="5">
                  <c:v>2.5475993653119022E-8</c:v>
                </c:pt>
                <c:pt idx="6">
                  <c:v>4.9106263034535159E-8</c:v>
                </c:pt>
                <c:pt idx="7">
                  <c:v>8.8919955031506675E-8</c:v>
                </c:pt>
                <c:pt idx="8">
                  <c:v>1.5125793878637589E-7</c:v>
                </c:pt>
                <c:pt idx="9">
                  <c:v>2.4170949794954007E-7</c:v>
                </c:pt>
                <c:pt idx="10">
                  <c:v>3.6284893237102456E-7</c:v>
                </c:pt>
                <c:pt idx="11">
                  <c:v>5.1169901117461756E-7</c:v>
                </c:pt>
                <c:pt idx="12">
                  <c:v>6.7789105106076471E-7</c:v>
                </c:pt>
                <c:pt idx="13">
                  <c:v>8.4364904391981434E-7</c:v>
                </c:pt>
                <c:pt idx="14">
                  <c:v>9.8632565933992152E-7</c:v>
                </c:pt>
                <c:pt idx="15">
                  <c:v>1.0832668151573547E-6</c:v>
                </c:pt>
                <c:pt idx="16">
                  <c:v>1.1176533951011494E-6</c:v>
                </c:pt>
                <c:pt idx="17">
                  <c:v>1.0832668151573544E-6</c:v>
                </c:pt>
                <c:pt idx="18">
                  <c:v>9.8632565933992152E-7</c:v>
                </c:pt>
                <c:pt idx="19">
                  <c:v>8.4364904391981466E-7</c:v>
                </c:pt>
                <c:pt idx="20">
                  <c:v>6.7789105106076492E-7</c:v>
                </c:pt>
                <c:pt idx="21">
                  <c:v>5.1169901117461766E-7</c:v>
                </c:pt>
                <c:pt idx="22">
                  <c:v>3.6284893237102456E-7</c:v>
                </c:pt>
                <c:pt idx="23">
                  <c:v>2.4170949794954007E-7</c:v>
                </c:pt>
                <c:pt idx="24">
                  <c:v>1.5125793878637589E-7</c:v>
                </c:pt>
                <c:pt idx="25">
                  <c:v>8.8919955031506675E-8</c:v>
                </c:pt>
                <c:pt idx="26">
                  <c:v>4.9106263034535159E-8</c:v>
                </c:pt>
                <c:pt idx="27">
                  <c:v>2.5475993653119091E-8</c:v>
                </c:pt>
                <c:pt idx="28">
                  <c:v>1.2416007697133408E-8</c:v>
                </c:pt>
                <c:pt idx="29">
                  <c:v>5.6844625437608265E-9</c:v>
                </c:pt>
                <c:pt idx="30">
                  <c:v>2.4448568749907112E-9</c:v>
                </c:pt>
                <c:pt idx="31">
                  <c:v>9.8781147262566923E-10</c:v>
                </c:pt>
                <c:pt idx="32">
                  <c:v>3.7493094500479598E-10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6-41FF-940B-723522A2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792768"/>
        <c:axId val="268791328"/>
      </c:lineChart>
      <c:lineChart>
        <c:grouping val="standard"/>
        <c:varyColors val="0"/>
        <c:ser>
          <c:idx val="5"/>
          <c:order val="4"/>
          <c:tx>
            <c:strRef>
              <c:f>'Scenario Data'!$L$8</c:f>
              <c:strCache>
                <c:ptCount val="1"/>
                <c:pt idx="0">
                  <c:v>Actual Results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'Scenario Data'!$F$9:$F$41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'Scenario Data'!$L$9:$L$41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16-41FF-940B-723522A2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51072"/>
        <c:axId val="983351552"/>
      </c:lineChart>
      <c:catAx>
        <c:axId val="26879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791328"/>
        <c:crosses val="autoZero"/>
        <c:auto val="1"/>
        <c:lblAlgn val="ctr"/>
        <c:lblOffset val="100"/>
        <c:noMultiLvlLbl val="0"/>
      </c:catAx>
      <c:valAx>
        <c:axId val="2687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792768"/>
        <c:crosses val="autoZero"/>
        <c:crossBetween val="midCat"/>
      </c:valAx>
      <c:valAx>
        <c:axId val="983351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351072"/>
        <c:crosses val="max"/>
        <c:crossBetween val="between"/>
      </c:valAx>
      <c:catAx>
        <c:axId val="98335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335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16" fmlaLink="$N$4" horiz="1" max="100" page="10" val="50"/>
</file>

<file path=xl/ctrlProps/ctrlProp2.xml><?xml version="1.0" encoding="utf-8"?>
<formControlPr xmlns="http://schemas.microsoft.com/office/spreadsheetml/2009/9/main" objectType="Scroll" dx="26" fmlaLink="$E$5" horiz="1" max="100" page="10" val="4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403717</xdr:colOff>
      <xdr:row>11</xdr:row>
      <xdr:rowOff>118182</xdr:rowOff>
    </xdr:from>
    <xdr:to>
      <xdr:col>15</xdr:col>
      <xdr:colOff>567905</xdr:colOff>
      <xdr:row>33</xdr:row>
      <xdr:rowOff>64698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0</xdr:row>
          <xdr:rowOff>160020</xdr:rowOff>
        </xdr:from>
        <xdr:to>
          <xdr:col>16</xdr:col>
          <xdr:colOff>541020</xdr:colOff>
          <xdr:row>1</xdr:row>
          <xdr:rowOff>190500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0</xdr:colOff>
      <xdr:row>4</xdr:row>
      <xdr:rowOff>3810</xdr:rowOff>
    </xdr:from>
    <xdr:to>
      <xdr:col>18</xdr:col>
      <xdr:colOff>441960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7</xdr:row>
      <xdr:rowOff>3810</xdr:rowOff>
    </xdr:from>
    <xdr:to>
      <xdr:col>11</xdr:col>
      <xdr:colOff>251460</xdr:colOff>
      <xdr:row>21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</xdr:colOff>
      <xdr:row>7</xdr:row>
      <xdr:rowOff>11430</xdr:rowOff>
    </xdr:from>
    <xdr:to>
      <xdr:col>23</xdr:col>
      <xdr:colOff>563880</xdr:colOff>
      <xdr:row>40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83820</xdr:rowOff>
        </xdr:from>
        <xdr:to>
          <xdr:col>13</xdr:col>
          <xdr:colOff>114300</xdr:colOff>
          <xdr:row>5</xdr:row>
          <xdr:rowOff>91440</xdr:rowOff>
        </xdr:to>
        <xdr:sp macro="" textlink="">
          <xdr:nvSpPr>
            <xdr:cNvPr id="10241" name="Scroll Bar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D7B7-AD43-47A0-AEC0-7AAEE40B76C7}">
  <dimension ref="A1:H29"/>
  <sheetViews>
    <sheetView tabSelected="1" workbookViewId="0">
      <selection activeCell="D19" sqref="D19"/>
    </sheetView>
  </sheetViews>
  <sheetFormatPr defaultRowHeight="14.4" x14ac:dyDescent="0.3"/>
  <cols>
    <col min="4" max="4" width="17.5546875" customWidth="1"/>
  </cols>
  <sheetData>
    <row r="1" spans="1:8" ht="25.8" x14ac:dyDescent="0.5">
      <c r="A1" s="2" t="s">
        <v>2</v>
      </c>
    </row>
    <row r="4" spans="1:8" s="1" customFormat="1" x14ac:dyDescent="0.3">
      <c r="C4" s="3" t="s">
        <v>0</v>
      </c>
      <c r="D4" s="3" t="s">
        <v>1</v>
      </c>
    </row>
    <row r="5" spans="1:8" x14ac:dyDescent="0.3">
      <c r="C5">
        <v>1</v>
      </c>
      <c r="D5">
        <v>85</v>
      </c>
    </row>
    <row r="6" spans="1:8" x14ac:dyDescent="0.3">
      <c r="C6">
        <f>C5+1</f>
        <v>2</v>
      </c>
      <c r="D6">
        <v>96</v>
      </c>
    </row>
    <row r="7" spans="1:8" x14ac:dyDescent="0.3">
      <c r="C7">
        <f t="shared" ref="C7:C29" si="0">C6+1</f>
        <v>3</v>
      </c>
      <c r="D7">
        <v>108</v>
      </c>
      <c r="H7" t="s">
        <v>3</v>
      </c>
    </row>
    <row r="8" spans="1:8" x14ac:dyDescent="0.3">
      <c r="C8">
        <f t="shared" si="0"/>
        <v>4</v>
      </c>
      <c r="D8">
        <v>78</v>
      </c>
    </row>
    <row r="9" spans="1:8" x14ac:dyDescent="0.3">
      <c r="C9">
        <f t="shared" si="0"/>
        <v>5</v>
      </c>
      <c r="D9">
        <v>87</v>
      </c>
      <c r="H9" t="s">
        <v>4</v>
      </c>
    </row>
    <row r="10" spans="1:8" x14ac:dyDescent="0.3">
      <c r="C10">
        <f t="shared" si="0"/>
        <v>6</v>
      </c>
      <c r="D10">
        <v>93</v>
      </c>
    </row>
    <row r="11" spans="1:8" x14ac:dyDescent="0.3">
      <c r="C11">
        <f t="shared" si="0"/>
        <v>7</v>
      </c>
      <c r="D11">
        <v>93</v>
      </c>
      <c r="H11" t="s">
        <v>5</v>
      </c>
    </row>
    <row r="12" spans="1:8" x14ac:dyDescent="0.3">
      <c r="C12">
        <f t="shared" si="0"/>
        <v>8</v>
      </c>
      <c r="D12">
        <v>92</v>
      </c>
    </row>
    <row r="13" spans="1:8" x14ac:dyDescent="0.3">
      <c r="C13">
        <f t="shared" si="0"/>
        <v>9</v>
      </c>
      <c r="D13">
        <v>96</v>
      </c>
    </row>
    <row r="14" spans="1:8" x14ac:dyDescent="0.3">
      <c r="C14">
        <f t="shared" si="0"/>
        <v>10</v>
      </c>
      <c r="D14">
        <v>86</v>
      </c>
    </row>
    <row r="15" spans="1:8" x14ac:dyDescent="0.3">
      <c r="C15">
        <f t="shared" si="0"/>
        <v>11</v>
      </c>
      <c r="D15">
        <v>110</v>
      </c>
    </row>
    <row r="16" spans="1:8" x14ac:dyDescent="0.3">
      <c r="C16">
        <f t="shared" si="0"/>
        <v>12</v>
      </c>
      <c r="D16">
        <v>96</v>
      </c>
    </row>
    <row r="17" spans="3:4" x14ac:dyDescent="0.3">
      <c r="C17">
        <f t="shared" si="0"/>
        <v>13</v>
      </c>
      <c r="D17">
        <v>92</v>
      </c>
    </row>
    <row r="18" spans="3:4" x14ac:dyDescent="0.3">
      <c r="C18">
        <f t="shared" si="0"/>
        <v>14</v>
      </c>
      <c r="D18">
        <v>86</v>
      </c>
    </row>
    <row r="19" spans="3:4" x14ac:dyDescent="0.3">
      <c r="C19">
        <f t="shared" si="0"/>
        <v>15</v>
      </c>
      <c r="D19">
        <v>102</v>
      </c>
    </row>
    <row r="20" spans="3:4" x14ac:dyDescent="0.3">
      <c r="C20">
        <f t="shared" si="0"/>
        <v>16</v>
      </c>
      <c r="D20">
        <v>99</v>
      </c>
    </row>
    <row r="21" spans="3:4" x14ac:dyDescent="0.3">
      <c r="C21">
        <f t="shared" si="0"/>
        <v>17</v>
      </c>
      <c r="D21">
        <v>83</v>
      </c>
    </row>
    <row r="22" spans="3:4" x14ac:dyDescent="0.3">
      <c r="C22">
        <f t="shared" si="0"/>
        <v>18</v>
      </c>
      <c r="D22">
        <v>106</v>
      </c>
    </row>
    <row r="23" spans="3:4" x14ac:dyDescent="0.3">
      <c r="C23">
        <f t="shared" si="0"/>
        <v>19</v>
      </c>
      <c r="D23">
        <v>98</v>
      </c>
    </row>
    <row r="24" spans="3:4" x14ac:dyDescent="0.3">
      <c r="C24">
        <f t="shared" si="0"/>
        <v>20</v>
      </c>
      <c r="D24">
        <v>92</v>
      </c>
    </row>
    <row r="25" spans="3:4" x14ac:dyDescent="0.3">
      <c r="C25">
        <f t="shared" si="0"/>
        <v>21</v>
      </c>
      <c r="D25">
        <v>104</v>
      </c>
    </row>
    <row r="26" spans="3:4" x14ac:dyDescent="0.3">
      <c r="C26">
        <f t="shared" si="0"/>
        <v>22</v>
      </c>
      <c r="D26">
        <v>89</v>
      </c>
    </row>
    <row r="27" spans="3:4" x14ac:dyDescent="0.3">
      <c r="C27">
        <f t="shared" si="0"/>
        <v>23</v>
      </c>
      <c r="D27">
        <v>82</v>
      </c>
    </row>
    <row r="28" spans="3:4" x14ac:dyDescent="0.3">
      <c r="C28">
        <f t="shared" si="0"/>
        <v>24</v>
      </c>
      <c r="D28">
        <v>88</v>
      </c>
    </row>
    <row r="29" spans="3:4" x14ac:dyDescent="0.3">
      <c r="C29">
        <f t="shared" si="0"/>
        <v>25</v>
      </c>
      <c r="D29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zoomScale="102" zoomScaleNormal="102" workbookViewId="0">
      <selection activeCell="T6" sqref="T6"/>
    </sheetView>
  </sheetViews>
  <sheetFormatPr defaultRowHeight="14.4" x14ac:dyDescent="0.3"/>
  <cols>
    <col min="4" max="4" width="17.5546875" customWidth="1"/>
  </cols>
  <sheetData>
    <row r="1" spans="1:9" ht="25.8" x14ac:dyDescent="0.5">
      <c r="A1" s="2" t="s">
        <v>2</v>
      </c>
    </row>
    <row r="4" spans="1:9" s="1" customFormat="1" x14ac:dyDescent="0.3">
      <c r="C4" s="3" t="s">
        <v>0</v>
      </c>
      <c r="D4" s="3" t="s">
        <v>1</v>
      </c>
    </row>
    <row r="5" spans="1:9" x14ac:dyDescent="0.3">
      <c r="C5">
        <v>1</v>
      </c>
      <c r="D5">
        <v>85</v>
      </c>
      <c r="E5" t="e">
        <v>#N/A</v>
      </c>
    </row>
    <row r="6" spans="1:9" x14ac:dyDescent="0.3">
      <c r="C6">
        <f>C5+1</f>
        <v>2</v>
      </c>
      <c r="D6">
        <v>96</v>
      </c>
      <c r="E6" t="e">
        <v>#N/A</v>
      </c>
    </row>
    <row r="7" spans="1:9" x14ac:dyDescent="0.3">
      <c r="C7">
        <f t="shared" ref="C7:C29" si="0">C6+1</f>
        <v>3</v>
      </c>
      <c r="D7">
        <v>108</v>
      </c>
      <c r="E7" t="e">
        <v>#N/A</v>
      </c>
      <c r="H7" t="s">
        <v>3</v>
      </c>
      <c r="I7">
        <f>AVERAGE(D5:D29)</f>
        <v>93.48</v>
      </c>
    </row>
    <row r="8" spans="1:9" x14ac:dyDescent="0.3">
      <c r="C8">
        <f t="shared" si="0"/>
        <v>4</v>
      </c>
      <c r="D8">
        <v>78</v>
      </c>
      <c r="E8" t="e">
        <v>#N/A</v>
      </c>
    </row>
    <row r="9" spans="1:9" x14ac:dyDescent="0.3">
      <c r="C9">
        <f t="shared" si="0"/>
        <v>5</v>
      </c>
      <c r="D9">
        <v>87</v>
      </c>
      <c r="E9" t="e">
        <v>#N/A</v>
      </c>
      <c r="H9" t="s">
        <v>4</v>
      </c>
      <c r="I9">
        <f>MEDIAN(D5:D29)</f>
        <v>93</v>
      </c>
    </row>
    <row r="10" spans="1:9" x14ac:dyDescent="0.3">
      <c r="C10">
        <f t="shared" si="0"/>
        <v>6</v>
      </c>
      <c r="D10">
        <v>93</v>
      </c>
      <c r="E10" t="e">
        <v>#N/A</v>
      </c>
    </row>
    <row r="11" spans="1:9" x14ac:dyDescent="0.3">
      <c r="C11">
        <f t="shared" si="0"/>
        <v>7</v>
      </c>
      <c r="D11">
        <v>93</v>
      </c>
      <c r="E11">
        <f t="shared" ref="E11:E29" si="1">AVERAGE(D5:D11)</f>
        <v>91.428571428571431</v>
      </c>
      <c r="H11" t="s">
        <v>5</v>
      </c>
      <c r="I11">
        <f>MODE(D5:D29)</f>
        <v>96</v>
      </c>
    </row>
    <row r="12" spans="1:9" x14ac:dyDescent="0.3">
      <c r="C12">
        <f t="shared" si="0"/>
        <v>8</v>
      </c>
      <c r="D12">
        <v>92</v>
      </c>
      <c r="E12">
        <f t="shared" si="1"/>
        <v>92.428571428571431</v>
      </c>
    </row>
    <row r="13" spans="1:9" x14ac:dyDescent="0.3">
      <c r="C13">
        <f t="shared" si="0"/>
        <v>9</v>
      </c>
      <c r="D13">
        <v>96</v>
      </c>
      <c r="E13">
        <f t="shared" si="1"/>
        <v>92.428571428571431</v>
      </c>
    </row>
    <row r="14" spans="1:9" x14ac:dyDescent="0.3">
      <c r="C14">
        <f t="shared" si="0"/>
        <v>10</v>
      </c>
      <c r="D14">
        <v>86</v>
      </c>
      <c r="E14">
        <f t="shared" si="1"/>
        <v>89.285714285714292</v>
      </c>
    </row>
    <row r="15" spans="1:9" x14ac:dyDescent="0.3">
      <c r="C15">
        <f t="shared" si="0"/>
        <v>11</v>
      </c>
      <c r="D15">
        <v>110</v>
      </c>
      <c r="E15">
        <f t="shared" si="1"/>
        <v>93.857142857142861</v>
      </c>
    </row>
    <row r="16" spans="1:9" x14ac:dyDescent="0.3">
      <c r="C16">
        <f t="shared" si="0"/>
        <v>12</v>
      </c>
      <c r="D16">
        <v>96</v>
      </c>
      <c r="E16">
        <f t="shared" si="1"/>
        <v>95.142857142857139</v>
      </c>
    </row>
    <row r="17" spans="3:5" x14ac:dyDescent="0.3">
      <c r="C17">
        <f t="shared" si="0"/>
        <v>13</v>
      </c>
      <c r="D17">
        <v>92</v>
      </c>
      <c r="E17">
        <f t="shared" si="1"/>
        <v>95</v>
      </c>
    </row>
    <row r="18" spans="3:5" x14ac:dyDescent="0.3">
      <c r="C18">
        <f t="shared" si="0"/>
        <v>14</v>
      </c>
      <c r="D18">
        <v>86</v>
      </c>
      <c r="E18">
        <f t="shared" si="1"/>
        <v>94</v>
      </c>
    </row>
    <row r="19" spans="3:5" x14ac:dyDescent="0.3">
      <c r="C19">
        <f t="shared" si="0"/>
        <v>15</v>
      </c>
      <c r="D19">
        <v>102</v>
      </c>
      <c r="E19">
        <f t="shared" si="1"/>
        <v>95.428571428571431</v>
      </c>
    </row>
    <row r="20" spans="3:5" x14ac:dyDescent="0.3">
      <c r="C20">
        <f t="shared" si="0"/>
        <v>16</v>
      </c>
      <c r="D20">
        <v>99</v>
      </c>
      <c r="E20">
        <f t="shared" si="1"/>
        <v>95.857142857142861</v>
      </c>
    </row>
    <row r="21" spans="3:5" x14ac:dyDescent="0.3">
      <c r="C21">
        <f t="shared" si="0"/>
        <v>17</v>
      </c>
      <c r="D21">
        <v>83</v>
      </c>
      <c r="E21">
        <f t="shared" si="1"/>
        <v>95.428571428571431</v>
      </c>
    </row>
    <row r="22" spans="3:5" x14ac:dyDescent="0.3">
      <c r="C22">
        <f t="shared" si="0"/>
        <v>18</v>
      </c>
      <c r="D22">
        <v>106</v>
      </c>
      <c r="E22">
        <f t="shared" si="1"/>
        <v>94.857142857142861</v>
      </c>
    </row>
    <row r="23" spans="3:5" x14ac:dyDescent="0.3">
      <c r="C23">
        <f t="shared" si="0"/>
        <v>19</v>
      </c>
      <c r="D23">
        <v>98</v>
      </c>
      <c r="E23">
        <f t="shared" si="1"/>
        <v>95.142857142857139</v>
      </c>
    </row>
    <row r="24" spans="3:5" x14ac:dyDescent="0.3">
      <c r="C24">
        <f t="shared" si="0"/>
        <v>20</v>
      </c>
      <c r="D24">
        <v>92</v>
      </c>
      <c r="E24">
        <f t="shared" si="1"/>
        <v>95.142857142857139</v>
      </c>
    </row>
    <row r="25" spans="3:5" x14ac:dyDescent="0.3">
      <c r="C25">
        <f t="shared" si="0"/>
        <v>21</v>
      </c>
      <c r="D25">
        <v>104</v>
      </c>
      <c r="E25">
        <f t="shared" si="1"/>
        <v>97.714285714285708</v>
      </c>
    </row>
    <row r="26" spans="3:5" x14ac:dyDescent="0.3">
      <c r="C26">
        <f t="shared" si="0"/>
        <v>22</v>
      </c>
      <c r="D26">
        <v>89</v>
      </c>
      <c r="E26">
        <f t="shared" si="1"/>
        <v>95.857142857142861</v>
      </c>
    </row>
    <row r="27" spans="3:5" x14ac:dyDescent="0.3">
      <c r="C27">
        <f t="shared" si="0"/>
        <v>23</v>
      </c>
      <c r="D27">
        <v>82</v>
      </c>
      <c r="E27">
        <f t="shared" si="1"/>
        <v>93.428571428571431</v>
      </c>
    </row>
    <row r="28" spans="3:5" x14ac:dyDescent="0.3">
      <c r="C28">
        <f t="shared" si="0"/>
        <v>24</v>
      </c>
      <c r="D28">
        <v>88</v>
      </c>
      <c r="E28">
        <f t="shared" si="1"/>
        <v>94.142857142857139</v>
      </c>
    </row>
    <row r="29" spans="3:5" x14ac:dyDescent="0.3">
      <c r="C29">
        <f t="shared" si="0"/>
        <v>25</v>
      </c>
      <c r="D29">
        <v>96</v>
      </c>
      <c r="E29">
        <f t="shared" si="1"/>
        <v>92.714285714285708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598-531C-4A66-8FC6-D5FA89EEE942}">
  <dimension ref="A1:Q42"/>
  <sheetViews>
    <sheetView workbookViewId="0">
      <selection activeCell="E9" sqref="E9"/>
    </sheetView>
  </sheetViews>
  <sheetFormatPr defaultRowHeight="14.4" x14ac:dyDescent="0.3"/>
  <cols>
    <col min="4" max="6" width="14.109375" customWidth="1"/>
  </cols>
  <sheetData>
    <row r="1" spans="1:17" ht="18" x14ac:dyDescent="0.35">
      <c r="A1" s="4" t="s">
        <v>54</v>
      </c>
    </row>
    <row r="2" spans="1:17" ht="18" x14ac:dyDescent="0.35">
      <c r="A2" s="4"/>
      <c r="F2">
        <f>N4/100</f>
        <v>0.5</v>
      </c>
    </row>
    <row r="3" spans="1:17" x14ac:dyDescent="0.3">
      <c r="K3" s="21">
        <v>0</v>
      </c>
      <c r="Q3">
        <v>1</v>
      </c>
    </row>
    <row r="4" spans="1:17" ht="28.8" x14ac:dyDescent="0.3">
      <c r="B4" s="3"/>
      <c r="C4" s="32" t="s">
        <v>55</v>
      </c>
      <c r="D4" s="32" t="s">
        <v>56</v>
      </c>
      <c r="E4" s="32" t="s">
        <v>57</v>
      </c>
      <c r="F4" s="32" t="s">
        <v>58</v>
      </c>
      <c r="G4" s="3"/>
      <c r="N4">
        <v>50</v>
      </c>
    </row>
    <row r="5" spans="1:17" x14ac:dyDescent="0.3">
      <c r="B5">
        <v>1</v>
      </c>
      <c r="C5">
        <v>85</v>
      </c>
      <c r="F5">
        <f>C5</f>
        <v>85</v>
      </c>
    </row>
    <row r="6" spans="1:17" x14ac:dyDescent="0.3">
      <c r="B6">
        <v>2</v>
      </c>
      <c r="C6">
        <v>96</v>
      </c>
      <c r="F6">
        <f t="shared" ref="F6:F29" si="0">($F$2*C6)+((1-$F$2)*F5)</f>
        <v>90.5</v>
      </c>
    </row>
    <row r="7" spans="1:17" x14ac:dyDescent="0.3">
      <c r="B7">
        <v>3</v>
      </c>
      <c r="C7">
        <v>98</v>
      </c>
      <c r="F7">
        <f t="shared" si="0"/>
        <v>94.25</v>
      </c>
    </row>
    <row r="8" spans="1:17" x14ac:dyDescent="0.3">
      <c r="B8">
        <v>4</v>
      </c>
      <c r="C8">
        <v>88</v>
      </c>
      <c r="F8">
        <f t="shared" si="0"/>
        <v>91.125</v>
      </c>
    </row>
    <row r="9" spans="1:17" x14ac:dyDescent="0.3">
      <c r="B9">
        <v>5</v>
      </c>
      <c r="C9">
        <v>87</v>
      </c>
      <c r="F9">
        <f t="shared" si="0"/>
        <v>89.0625</v>
      </c>
    </row>
    <row r="10" spans="1:17" x14ac:dyDescent="0.3">
      <c r="B10">
        <v>6</v>
      </c>
      <c r="C10">
        <v>93</v>
      </c>
      <c r="F10">
        <f t="shared" si="0"/>
        <v>91.03125</v>
      </c>
    </row>
    <row r="11" spans="1:17" x14ac:dyDescent="0.3">
      <c r="B11">
        <v>7</v>
      </c>
      <c r="C11">
        <v>93</v>
      </c>
      <c r="D11">
        <f>AVERAGE(C5:C11)</f>
        <v>91.428571428571431</v>
      </c>
      <c r="E11">
        <f>SUMPRODUCT(C5:C11,$E$34:$E$40)</f>
        <v>91.56</v>
      </c>
      <c r="F11">
        <f t="shared" si="0"/>
        <v>92.015625</v>
      </c>
    </row>
    <row r="12" spans="1:17" x14ac:dyDescent="0.3">
      <c r="B12">
        <v>8</v>
      </c>
      <c r="C12">
        <v>96</v>
      </c>
      <c r="D12">
        <f t="shared" ref="D12:D29" si="1">AVERAGE(C6:C12)</f>
        <v>93</v>
      </c>
      <c r="E12">
        <f t="shared" ref="E12:E29" si="2">SUMPRODUCT(C6:C12,$E$34:$E$40)</f>
        <v>93.29</v>
      </c>
      <c r="F12">
        <f t="shared" si="0"/>
        <v>94.0078125</v>
      </c>
    </row>
    <row r="13" spans="1:17" x14ac:dyDescent="0.3">
      <c r="B13">
        <v>9</v>
      </c>
      <c r="C13">
        <v>96</v>
      </c>
      <c r="D13">
        <f t="shared" si="1"/>
        <v>93</v>
      </c>
      <c r="E13">
        <f t="shared" si="2"/>
        <v>94.13</v>
      </c>
      <c r="F13">
        <f t="shared" si="0"/>
        <v>95.00390625</v>
      </c>
    </row>
    <row r="14" spans="1:17" x14ac:dyDescent="0.3">
      <c r="B14">
        <v>10</v>
      </c>
      <c r="C14">
        <v>106</v>
      </c>
      <c r="D14">
        <f t="shared" si="1"/>
        <v>94.142857142857139</v>
      </c>
      <c r="E14">
        <f t="shared" si="2"/>
        <v>97.8</v>
      </c>
      <c r="F14">
        <f t="shared" si="0"/>
        <v>100.501953125</v>
      </c>
    </row>
    <row r="15" spans="1:17" x14ac:dyDescent="0.3">
      <c r="B15">
        <v>11</v>
      </c>
      <c r="C15">
        <v>110</v>
      </c>
      <c r="D15">
        <f t="shared" si="1"/>
        <v>97.285714285714292</v>
      </c>
      <c r="E15">
        <f t="shared" si="2"/>
        <v>102.07000000000001</v>
      </c>
      <c r="F15">
        <f t="shared" si="0"/>
        <v>105.2509765625</v>
      </c>
    </row>
    <row r="16" spans="1:17" x14ac:dyDescent="0.3">
      <c r="B16">
        <v>12</v>
      </c>
      <c r="C16">
        <v>107</v>
      </c>
      <c r="D16">
        <f t="shared" si="1"/>
        <v>100.14285714285714</v>
      </c>
      <c r="E16">
        <f t="shared" si="2"/>
        <v>104.56</v>
      </c>
      <c r="F16">
        <f t="shared" si="0"/>
        <v>106.12548828125</v>
      </c>
    </row>
    <row r="17" spans="2:6" x14ac:dyDescent="0.3">
      <c r="B17">
        <v>13</v>
      </c>
      <c r="C17">
        <v>123</v>
      </c>
      <c r="D17">
        <f t="shared" si="1"/>
        <v>104.42857142857143</v>
      </c>
      <c r="E17">
        <f t="shared" si="2"/>
        <v>110.56</v>
      </c>
      <c r="F17">
        <f t="shared" si="0"/>
        <v>114.562744140625</v>
      </c>
    </row>
    <row r="18" spans="2:6" x14ac:dyDescent="0.3">
      <c r="B18">
        <v>14</v>
      </c>
      <c r="C18">
        <v>116</v>
      </c>
      <c r="D18">
        <f t="shared" si="1"/>
        <v>107.71428571428571</v>
      </c>
      <c r="E18">
        <f t="shared" si="2"/>
        <v>113.05</v>
      </c>
      <c r="F18">
        <f t="shared" si="0"/>
        <v>115.2813720703125</v>
      </c>
    </row>
    <row r="19" spans="2:6" x14ac:dyDescent="0.3">
      <c r="B19">
        <v>15</v>
      </c>
      <c r="C19">
        <v>122</v>
      </c>
      <c r="D19">
        <f t="shared" si="1"/>
        <v>111.42857142857143</v>
      </c>
      <c r="E19">
        <f t="shared" si="2"/>
        <v>116.78</v>
      </c>
      <c r="F19">
        <f t="shared" si="0"/>
        <v>118.64068603515625</v>
      </c>
    </row>
    <row r="20" spans="2:6" x14ac:dyDescent="0.3">
      <c r="B20">
        <v>16</v>
      </c>
      <c r="C20">
        <v>129</v>
      </c>
      <c r="D20">
        <f t="shared" si="1"/>
        <v>116.14285714285714</v>
      </c>
      <c r="E20">
        <f t="shared" si="2"/>
        <v>120.87</v>
      </c>
      <c r="F20">
        <f t="shared" si="0"/>
        <v>123.82034301757813</v>
      </c>
    </row>
    <row r="21" spans="2:6" x14ac:dyDescent="0.3">
      <c r="B21">
        <v>17</v>
      </c>
      <c r="C21">
        <v>116</v>
      </c>
      <c r="D21">
        <f t="shared" si="1"/>
        <v>117.57142857142857</v>
      </c>
      <c r="E21">
        <f t="shared" si="2"/>
        <v>120.31</v>
      </c>
      <c r="F21">
        <f t="shared" si="0"/>
        <v>119.91017150878906</v>
      </c>
    </row>
    <row r="22" spans="2:6" x14ac:dyDescent="0.3">
      <c r="B22">
        <v>18</v>
      </c>
      <c r="C22">
        <v>131</v>
      </c>
      <c r="D22">
        <f t="shared" si="1"/>
        <v>120.57142857142857</v>
      </c>
      <c r="E22">
        <f t="shared" si="2"/>
        <v>123.78</v>
      </c>
      <c r="F22">
        <f t="shared" si="0"/>
        <v>125.45508575439453</v>
      </c>
    </row>
    <row r="23" spans="2:6" x14ac:dyDescent="0.3">
      <c r="B23">
        <v>19</v>
      </c>
      <c r="C23">
        <v>133</v>
      </c>
      <c r="D23">
        <f t="shared" si="1"/>
        <v>124.28571428571429</v>
      </c>
      <c r="E23">
        <f t="shared" si="2"/>
        <v>126.78</v>
      </c>
      <c r="F23">
        <f t="shared" si="0"/>
        <v>129.22754287719727</v>
      </c>
    </row>
    <row r="24" spans="2:6" x14ac:dyDescent="0.3">
      <c r="B24">
        <v>20</v>
      </c>
      <c r="C24">
        <v>126</v>
      </c>
      <c r="D24">
        <f t="shared" si="1"/>
        <v>124.71428571428571</v>
      </c>
      <c r="E24">
        <f t="shared" si="2"/>
        <v>127.46</v>
      </c>
      <c r="F24">
        <f t="shared" si="0"/>
        <v>127.61377143859863</v>
      </c>
    </row>
    <row r="25" spans="2:6" x14ac:dyDescent="0.3">
      <c r="B25">
        <v>21</v>
      </c>
      <c r="C25">
        <v>141</v>
      </c>
      <c r="D25">
        <f t="shared" si="1"/>
        <v>128.28571428571428</v>
      </c>
      <c r="E25">
        <f t="shared" si="2"/>
        <v>131.73000000000002</v>
      </c>
      <c r="F25">
        <f t="shared" si="0"/>
        <v>134.30688571929932</v>
      </c>
    </row>
    <row r="26" spans="2:6" x14ac:dyDescent="0.3">
      <c r="B26">
        <v>22</v>
      </c>
      <c r="C26">
        <v>136</v>
      </c>
      <c r="D26">
        <f t="shared" si="1"/>
        <v>130.28571428571428</v>
      </c>
      <c r="E26">
        <f t="shared" si="2"/>
        <v>133.38999999999999</v>
      </c>
      <c r="F26">
        <f t="shared" si="0"/>
        <v>135.15344285964966</v>
      </c>
    </row>
    <row r="27" spans="2:6" x14ac:dyDescent="0.3">
      <c r="B27">
        <v>23</v>
      </c>
      <c r="C27">
        <v>134</v>
      </c>
      <c r="D27">
        <f t="shared" si="1"/>
        <v>131</v>
      </c>
      <c r="E27">
        <f t="shared" si="2"/>
        <v>134.34</v>
      </c>
      <c r="F27">
        <f t="shared" si="0"/>
        <v>134.57672142982483</v>
      </c>
    </row>
    <row r="28" spans="2:6" x14ac:dyDescent="0.3">
      <c r="B28">
        <v>24</v>
      </c>
      <c r="C28">
        <v>145</v>
      </c>
      <c r="D28">
        <f t="shared" si="1"/>
        <v>135.14285714285714</v>
      </c>
      <c r="E28">
        <f t="shared" si="2"/>
        <v>137.69999999999999</v>
      </c>
      <c r="F28">
        <f t="shared" si="0"/>
        <v>139.78836071491241</v>
      </c>
    </row>
    <row r="29" spans="2:6" x14ac:dyDescent="0.3">
      <c r="B29">
        <v>25</v>
      </c>
      <c r="C29">
        <v>140</v>
      </c>
      <c r="D29">
        <f t="shared" si="1"/>
        <v>136.42857142857142</v>
      </c>
      <c r="E29">
        <f t="shared" si="2"/>
        <v>138.81</v>
      </c>
      <c r="F29">
        <f t="shared" si="0"/>
        <v>139.89418035745621</v>
      </c>
    </row>
    <row r="32" spans="2:6" x14ac:dyDescent="0.3">
      <c r="E32" t="s">
        <v>59</v>
      </c>
    </row>
    <row r="34" spans="5:5" x14ac:dyDescent="0.3">
      <c r="E34" s="16">
        <v>0.03</v>
      </c>
    </row>
    <row r="35" spans="5:5" x14ac:dyDescent="0.3">
      <c r="E35" s="16">
        <v>0.05</v>
      </c>
    </row>
    <row r="36" spans="5:5" x14ac:dyDescent="0.3">
      <c r="E36" s="16">
        <v>7.0000000000000007E-2</v>
      </c>
    </row>
    <row r="37" spans="5:5" x14ac:dyDescent="0.3">
      <c r="E37" s="16">
        <v>0.1</v>
      </c>
    </row>
    <row r="38" spans="5:5" x14ac:dyDescent="0.3">
      <c r="E38" s="16">
        <v>0.2</v>
      </c>
    </row>
    <row r="39" spans="5:5" x14ac:dyDescent="0.3">
      <c r="E39" s="16">
        <v>0.25</v>
      </c>
    </row>
    <row r="40" spans="5:5" x14ac:dyDescent="0.3">
      <c r="E40" s="16">
        <v>0.3</v>
      </c>
    </row>
    <row r="41" spans="5:5" ht="15" thickBot="1" x14ac:dyDescent="0.35">
      <c r="E41" s="31">
        <f>SUM(E34:E40)</f>
        <v>1</v>
      </c>
    </row>
    <row r="42" spans="5:5" ht="15" thickTop="1" x14ac:dyDescent="0.3"/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Scroll Bar 1">
              <controlPr defaultSize="0" autoPict="0">
                <anchor moveWithCells="1">
                  <from>
                    <xdr:col>9</xdr:col>
                    <xdr:colOff>594360</xdr:colOff>
                    <xdr:row>0</xdr:row>
                    <xdr:rowOff>160020</xdr:rowOff>
                  </from>
                  <to>
                    <xdr:col>16</xdr:col>
                    <xdr:colOff>541020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zoomScale="110" zoomScaleNormal="110" workbookViewId="0">
      <selection activeCell="N16" sqref="N16"/>
    </sheetView>
  </sheetViews>
  <sheetFormatPr defaultRowHeight="14.4" x14ac:dyDescent="0.3"/>
  <cols>
    <col min="3" max="14" width="6" customWidth="1"/>
    <col min="16" max="16" width="33.88671875" bestFit="1" customWidth="1"/>
  </cols>
  <sheetData>
    <row r="1" spans="1:18" ht="25.8" x14ac:dyDescent="0.5">
      <c r="A1" s="2" t="s">
        <v>6</v>
      </c>
      <c r="P1" s="5"/>
    </row>
    <row r="2" spans="1:18" ht="15.6" x14ac:dyDescent="0.3">
      <c r="P2" s="5"/>
    </row>
    <row r="3" spans="1:18" ht="15.6" x14ac:dyDescent="0.3"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P3" s="7" t="s">
        <v>7</v>
      </c>
      <c r="Q3" s="8">
        <f>FORECAST(K3,C4:J4,C3:J3)</f>
        <v>96.75</v>
      </c>
      <c r="R3" s="8" t="s">
        <v>8</v>
      </c>
    </row>
    <row r="4" spans="1:18" ht="15.6" x14ac:dyDescent="0.3">
      <c r="B4" t="s">
        <v>9</v>
      </c>
      <c r="C4">
        <v>10</v>
      </c>
      <c r="D4">
        <v>18</v>
      </c>
      <c r="E4">
        <v>32</v>
      </c>
      <c r="F4">
        <v>38</v>
      </c>
      <c r="G4">
        <v>54</v>
      </c>
      <c r="H4">
        <v>60</v>
      </c>
      <c r="I4">
        <v>75</v>
      </c>
      <c r="J4">
        <v>88</v>
      </c>
      <c r="P4" s="5"/>
    </row>
    <row r="5" spans="1:18" ht="15.6" x14ac:dyDescent="0.3">
      <c r="B5" t="s">
        <v>10</v>
      </c>
      <c r="K5" s="9">
        <f>FORECAST(K3,$C$4:$J$4,$C$3:$J$3)</f>
        <v>96.75</v>
      </c>
      <c r="L5" s="9">
        <f t="shared" ref="L5:N5" si="0">FORECAST(L3,$C$4:$J$4,$C$3:$J$3)</f>
        <v>107.83333333333334</v>
      </c>
      <c r="M5" s="9">
        <f t="shared" si="0"/>
        <v>118.91666666666667</v>
      </c>
      <c r="N5" s="9">
        <f t="shared" si="0"/>
        <v>130</v>
      </c>
      <c r="P5" s="7" t="s">
        <v>11</v>
      </c>
      <c r="Q5" s="8">
        <f>TREND(C4:J4,C3:J3,K3)</f>
        <v>96.75</v>
      </c>
      <c r="R5" s="8" t="s">
        <v>12</v>
      </c>
    </row>
    <row r="6" spans="1:18" ht="15.6" x14ac:dyDescent="0.3">
      <c r="P6" s="5"/>
    </row>
    <row r="7" spans="1:18" ht="15.6" x14ac:dyDescent="0.3">
      <c r="P7" s="7" t="s">
        <v>13</v>
      </c>
      <c r="Q7" s="8">
        <f>SLOPE(C4:J4,C3:J3)</f>
        <v>11.083333333333334</v>
      </c>
      <c r="R7" s="8" t="s">
        <v>14</v>
      </c>
    </row>
    <row r="8" spans="1:18" ht="15.6" x14ac:dyDescent="0.3">
      <c r="P8" s="7" t="s">
        <v>15</v>
      </c>
      <c r="Q8" s="8">
        <f>INTERCEPT(C4:J4,C3:J3)</f>
        <v>-3</v>
      </c>
      <c r="R8" s="8" t="s">
        <v>16</v>
      </c>
    </row>
    <row r="9" spans="1:18" ht="15.6" x14ac:dyDescent="0.3">
      <c r="P9" s="5"/>
    </row>
    <row r="10" spans="1:18" ht="15.6" x14ac:dyDescent="0.3">
      <c r="P10" s="10" t="s">
        <v>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workbookViewId="0">
      <selection activeCell="F11" sqref="F11"/>
    </sheetView>
  </sheetViews>
  <sheetFormatPr defaultRowHeight="14.4" x14ac:dyDescent="0.3"/>
  <cols>
    <col min="3" max="3" width="21.109375" bestFit="1" customWidth="1"/>
    <col min="6" max="12" width="10.88671875" customWidth="1"/>
    <col min="16" max="16" width="9.44140625" bestFit="1" customWidth="1"/>
  </cols>
  <sheetData>
    <row r="1" spans="1:19" ht="25.8" x14ac:dyDescent="0.5">
      <c r="A1" s="2" t="s">
        <v>18</v>
      </c>
    </row>
    <row r="3" spans="1:19" x14ac:dyDescent="0.3">
      <c r="B3" s="11">
        <v>2024</v>
      </c>
      <c r="F3" s="12" t="str">
        <f>TEXT(F5,"mmm")</f>
        <v>Jan</v>
      </c>
      <c r="G3" s="12" t="str">
        <f t="shared" ref="G3:L3" si="0">TEXT(G5,"mmm")</f>
        <v>Feb</v>
      </c>
      <c r="H3" s="12" t="str">
        <f t="shared" si="0"/>
        <v>Mar</v>
      </c>
      <c r="I3" s="12" t="str">
        <f t="shared" si="0"/>
        <v>Apr</v>
      </c>
      <c r="J3" s="12" t="str">
        <f t="shared" si="0"/>
        <v>May</v>
      </c>
      <c r="K3" s="12" t="str">
        <f t="shared" si="0"/>
        <v>Jun</v>
      </c>
      <c r="L3" s="12" t="str">
        <f t="shared" si="0"/>
        <v>Jul</v>
      </c>
      <c r="N3" t="s">
        <v>19</v>
      </c>
      <c r="O3" s="13"/>
      <c r="P3" s="14">
        <v>45292</v>
      </c>
      <c r="R3">
        <v>1</v>
      </c>
      <c r="S3" t="s">
        <v>20</v>
      </c>
    </row>
    <row r="4" spans="1:19" x14ac:dyDescent="0.3">
      <c r="O4" s="13"/>
      <c r="P4" s="14">
        <v>45380</v>
      </c>
      <c r="R4">
        <v>2</v>
      </c>
      <c r="S4" t="s">
        <v>21</v>
      </c>
    </row>
    <row r="5" spans="1:19" x14ac:dyDescent="0.3">
      <c r="B5" t="s">
        <v>22</v>
      </c>
      <c r="F5" s="14">
        <v>45292</v>
      </c>
      <c r="G5" s="14">
        <f>F6+1</f>
        <v>45323</v>
      </c>
      <c r="H5" s="14">
        <f t="shared" ref="H5:L5" si="1">G6+1</f>
        <v>45352</v>
      </c>
      <c r="I5" s="14">
        <f t="shared" si="1"/>
        <v>45383</v>
      </c>
      <c r="J5" s="14">
        <f t="shared" si="1"/>
        <v>45413</v>
      </c>
      <c r="K5" s="14">
        <f t="shared" si="1"/>
        <v>45444</v>
      </c>
      <c r="L5" s="14">
        <f t="shared" si="1"/>
        <v>45474</v>
      </c>
      <c r="M5" s="14"/>
      <c r="O5" s="13"/>
      <c r="P5" s="14">
        <v>45383</v>
      </c>
      <c r="R5">
        <v>3</v>
      </c>
      <c r="S5" t="s">
        <v>23</v>
      </c>
    </row>
    <row r="6" spans="1:19" x14ac:dyDescent="0.3">
      <c r="B6" t="s">
        <v>24</v>
      </c>
      <c r="F6" s="14">
        <f>EOMONTH(F5,0)</f>
        <v>45322</v>
      </c>
      <c r="G6" s="14">
        <f t="shared" ref="G6:L6" si="2">EOMONTH(G5,0)</f>
        <v>45351</v>
      </c>
      <c r="H6" s="14">
        <f t="shared" si="2"/>
        <v>45382</v>
      </c>
      <c r="I6" s="14">
        <f t="shared" si="2"/>
        <v>45412</v>
      </c>
      <c r="J6" s="14">
        <f t="shared" si="2"/>
        <v>45443</v>
      </c>
      <c r="K6" s="14">
        <f t="shared" si="2"/>
        <v>45473</v>
      </c>
      <c r="L6" s="14">
        <f t="shared" si="2"/>
        <v>45504</v>
      </c>
      <c r="M6" s="14"/>
      <c r="O6" s="13"/>
      <c r="P6" s="14">
        <v>45047</v>
      </c>
      <c r="R6">
        <v>4</v>
      </c>
      <c r="S6" t="s">
        <v>25</v>
      </c>
    </row>
    <row r="7" spans="1:19" x14ac:dyDescent="0.3">
      <c r="F7" s="14"/>
      <c r="G7" s="14"/>
      <c r="H7" s="14"/>
      <c r="I7" s="14"/>
      <c r="J7" s="14"/>
      <c r="K7" s="14"/>
      <c r="L7" s="14"/>
      <c r="M7" s="14"/>
      <c r="O7" s="13"/>
      <c r="P7" s="14">
        <v>45418</v>
      </c>
      <c r="R7">
        <v>5</v>
      </c>
      <c r="S7" t="s">
        <v>26</v>
      </c>
    </row>
    <row r="8" spans="1:19" x14ac:dyDescent="0.3">
      <c r="O8" s="13"/>
      <c r="P8" s="14">
        <v>45439</v>
      </c>
      <c r="R8">
        <v>6</v>
      </c>
      <c r="S8" t="s">
        <v>27</v>
      </c>
    </row>
    <row r="9" spans="1:19" x14ac:dyDescent="0.3">
      <c r="B9" t="s">
        <v>28</v>
      </c>
      <c r="F9" s="8">
        <f t="shared" ref="F9:L9" si="3">NETWORKDAYS(F5,F6,$P$3:$P$11)</f>
        <v>22</v>
      </c>
      <c r="G9" s="8">
        <f t="shared" si="3"/>
        <v>21</v>
      </c>
      <c r="H9" s="8">
        <f t="shared" si="3"/>
        <v>20</v>
      </c>
      <c r="I9" s="8">
        <f t="shared" si="3"/>
        <v>21</v>
      </c>
      <c r="J9" s="8">
        <f t="shared" si="3"/>
        <v>21</v>
      </c>
      <c r="K9" s="8">
        <f t="shared" si="3"/>
        <v>20</v>
      </c>
      <c r="L9" s="8">
        <f t="shared" si="3"/>
        <v>23</v>
      </c>
      <c r="O9" s="13"/>
      <c r="P9" s="14">
        <v>45530</v>
      </c>
      <c r="R9">
        <v>7</v>
      </c>
      <c r="S9" t="s">
        <v>29</v>
      </c>
    </row>
    <row r="10" spans="1:19" x14ac:dyDescent="0.3">
      <c r="B10" t="s">
        <v>30</v>
      </c>
      <c r="F10">
        <f>F6-F5+1-F9-F11</f>
        <v>8</v>
      </c>
      <c r="G10">
        <f t="shared" ref="G10:L10" si="4">G6-G5+1-G9-G11</f>
        <v>8</v>
      </c>
      <c r="H10">
        <f t="shared" si="4"/>
        <v>10</v>
      </c>
      <c r="I10">
        <f t="shared" si="4"/>
        <v>8</v>
      </c>
      <c r="J10">
        <f t="shared" si="4"/>
        <v>8</v>
      </c>
      <c r="K10">
        <f t="shared" si="4"/>
        <v>10</v>
      </c>
      <c r="L10">
        <f t="shared" si="4"/>
        <v>8</v>
      </c>
      <c r="P10" s="14">
        <v>45651</v>
      </c>
    </row>
    <row r="11" spans="1:19" x14ac:dyDescent="0.3">
      <c r="B11" t="s">
        <v>31</v>
      </c>
      <c r="F11" s="8">
        <f>NETWORKDAYS(F5,F6)-F9</f>
        <v>1</v>
      </c>
      <c r="G11" s="8">
        <f t="shared" ref="G11:L11" si="5">NETWORKDAYS(G5,G6)-G9</f>
        <v>0</v>
      </c>
      <c r="H11" s="8">
        <f t="shared" si="5"/>
        <v>1</v>
      </c>
      <c r="I11" s="8">
        <f t="shared" si="5"/>
        <v>1</v>
      </c>
      <c r="J11" s="8">
        <f t="shared" si="5"/>
        <v>2</v>
      </c>
      <c r="K11" s="8">
        <f t="shared" si="5"/>
        <v>0</v>
      </c>
      <c r="L11" s="8">
        <f t="shared" si="5"/>
        <v>0</v>
      </c>
      <c r="P11" s="14">
        <v>45652</v>
      </c>
    </row>
    <row r="12" spans="1:19" ht="15" thickBot="1" x14ac:dyDescent="0.35">
      <c r="F12" s="15">
        <f>SUM(F9:F11)</f>
        <v>31</v>
      </c>
      <c r="G12" s="15">
        <f t="shared" ref="G12:L12" si="6">SUM(G9:G11)</f>
        <v>29</v>
      </c>
      <c r="H12" s="15">
        <f t="shared" si="6"/>
        <v>31</v>
      </c>
      <c r="I12" s="15">
        <f t="shared" si="6"/>
        <v>30</v>
      </c>
      <c r="J12" s="15">
        <f t="shared" si="6"/>
        <v>31</v>
      </c>
      <c r="K12" s="15">
        <f t="shared" si="6"/>
        <v>30</v>
      </c>
      <c r="L12" s="15">
        <f t="shared" si="6"/>
        <v>31</v>
      </c>
      <c r="P12" s="14"/>
    </row>
    <row r="13" spans="1:19" ht="15" thickTop="1" x14ac:dyDescent="0.3">
      <c r="B13" t="s">
        <v>32</v>
      </c>
      <c r="F13" s="8">
        <f t="shared" ref="F13:L13" si="7">INT((WEEKDAY(F5-7)+F6-F5)/7)</f>
        <v>4</v>
      </c>
      <c r="G13" s="8">
        <f t="shared" si="7"/>
        <v>4</v>
      </c>
      <c r="H13" s="8">
        <f t="shared" si="7"/>
        <v>5</v>
      </c>
      <c r="I13" s="8">
        <f t="shared" si="7"/>
        <v>4</v>
      </c>
      <c r="J13" s="8">
        <f t="shared" si="7"/>
        <v>4</v>
      </c>
      <c r="K13" s="8">
        <f t="shared" si="7"/>
        <v>5</v>
      </c>
      <c r="L13" s="8">
        <f t="shared" si="7"/>
        <v>4</v>
      </c>
      <c r="P13" s="14"/>
    </row>
    <row r="16" spans="1:19" x14ac:dyDescent="0.3">
      <c r="B16" t="s">
        <v>9</v>
      </c>
      <c r="C16" t="s">
        <v>33</v>
      </c>
      <c r="D16" s="16">
        <v>1</v>
      </c>
    </row>
    <row r="17" spans="3:12" x14ac:dyDescent="0.3">
      <c r="C17" t="s">
        <v>32</v>
      </c>
      <c r="D17" s="16">
        <v>1.5</v>
      </c>
    </row>
    <row r="19" spans="3:12" x14ac:dyDescent="0.3">
      <c r="C19" t="s">
        <v>34</v>
      </c>
      <c r="F19" s="17">
        <f t="shared" ref="F19:K19" si="8">(F9*$D$16)+(F13*$D$17)</f>
        <v>28</v>
      </c>
      <c r="G19" s="17">
        <f t="shared" si="8"/>
        <v>27</v>
      </c>
      <c r="H19" s="17">
        <f t="shared" si="8"/>
        <v>27.5</v>
      </c>
      <c r="I19" s="17">
        <f t="shared" si="8"/>
        <v>27</v>
      </c>
      <c r="J19" s="17">
        <f t="shared" si="8"/>
        <v>27</v>
      </c>
      <c r="K19" s="17">
        <f t="shared" si="8"/>
        <v>27.5</v>
      </c>
    </row>
    <row r="20" spans="3:12" x14ac:dyDescent="0.3">
      <c r="C20" t="s">
        <v>35</v>
      </c>
      <c r="F20" s="18">
        <v>21875</v>
      </c>
      <c r="G20" s="18">
        <v>19852</v>
      </c>
      <c r="H20" s="18">
        <v>20547</v>
      </c>
      <c r="I20" s="18">
        <v>20147</v>
      </c>
      <c r="J20" s="18">
        <v>20045</v>
      </c>
      <c r="K20" s="18">
        <v>21492</v>
      </c>
      <c r="L20" s="18"/>
    </row>
    <row r="21" spans="3:12" x14ac:dyDescent="0.3">
      <c r="C21" t="s">
        <v>36</v>
      </c>
      <c r="F21" s="18">
        <f>F20/F19</f>
        <v>781.25</v>
      </c>
      <c r="G21" s="18">
        <f t="shared" ref="G21:K21" si="9">G20/G19</f>
        <v>735.25925925925924</v>
      </c>
      <c r="H21" s="18">
        <f t="shared" si="9"/>
        <v>747.16363636363633</v>
      </c>
      <c r="I21" s="18">
        <f t="shared" si="9"/>
        <v>746.18518518518522</v>
      </c>
      <c r="J21" s="18">
        <f t="shared" si="9"/>
        <v>742.40740740740739</v>
      </c>
      <c r="K21" s="18">
        <f t="shared" si="9"/>
        <v>781.5272727272727</v>
      </c>
      <c r="L21" s="18"/>
    </row>
    <row r="23" spans="3:12" x14ac:dyDescent="0.3">
      <c r="C23" t="s">
        <v>37</v>
      </c>
      <c r="L23" s="17">
        <f>(L9*$D$16)+(L13*$D$17)</f>
        <v>29</v>
      </c>
    </row>
    <row r="24" spans="3:12" x14ac:dyDescent="0.3">
      <c r="C24" t="s">
        <v>38</v>
      </c>
      <c r="L24" s="18">
        <f>AVERAGE(F21:K21)</f>
        <v>755.63212682379344</v>
      </c>
    </row>
    <row r="25" spans="3:12" x14ac:dyDescent="0.3">
      <c r="C25" t="s">
        <v>39</v>
      </c>
      <c r="L25" s="19">
        <f>L23*L24</f>
        <v>21913.331677890012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E594-0D6E-4C76-B064-2CC41254D0DB}">
  <dimension ref="A1:N18"/>
  <sheetViews>
    <sheetView workbookViewId="0">
      <selection activeCell="S12" sqref="S12"/>
    </sheetView>
  </sheetViews>
  <sheetFormatPr defaultRowHeight="14.4" x14ac:dyDescent="0.3"/>
  <cols>
    <col min="3" max="5" width="11.44140625" bestFit="1" customWidth="1"/>
    <col min="14" max="14" width="13.6640625" customWidth="1"/>
  </cols>
  <sheetData>
    <row r="1" spans="1:14" ht="25.8" x14ac:dyDescent="0.5">
      <c r="A1" s="2" t="s">
        <v>40</v>
      </c>
      <c r="N1" s="20">
        <v>1540000</v>
      </c>
    </row>
    <row r="2" spans="1:14" x14ac:dyDescent="0.3">
      <c r="A2" s="21"/>
      <c r="N2" s="20"/>
    </row>
    <row r="3" spans="1:14" x14ac:dyDescent="0.3">
      <c r="A3" s="22"/>
      <c r="B3" s="23"/>
      <c r="C3" s="23">
        <v>2022</v>
      </c>
      <c r="D3" s="23">
        <f>C3+1</f>
        <v>2023</v>
      </c>
      <c r="E3" s="23">
        <f>D3+1</f>
        <v>2024</v>
      </c>
      <c r="G3" s="23">
        <f>C3</f>
        <v>2022</v>
      </c>
      <c r="H3" s="23">
        <f t="shared" ref="H3:I3" si="0">D3</f>
        <v>2023</v>
      </c>
      <c r="I3" s="23">
        <f t="shared" si="0"/>
        <v>2024</v>
      </c>
      <c r="J3" s="23"/>
      <c r="K3" s="23" t="s">
        <v>3</v>
      </c>
      <c r="L3" s="23" t="s">
        <v>41</v>
      </c>
      <c r="M3" s="23"/>
      <c r="N3" s="24" t="s">
        <v>74</v>
      </c>
    </row>
    <row r="4" spans="1:14" x14ac:dyDescent="0.3">
      <c r="A4" s="22"/>
      <c r="B4" s="23"/>
      <c r="C4" s="23"/>
      <c r="D4" s="23"/>
      <c r="E4" s="23"/>
      <c r="G4" s="23"/>
      <c r="H4" s="23"/>
      <c r="I4" s="23"/>
      <c r="J4" s="23"/>
      <c r="K4" s="23"/>
      <c r="L4" s="23"/>
      <c r="M4" s="23"/>
      <c r="N4" s="24"/>
    </row>
    <row r="5" spans="1:14" x14ac:dyDescent="0.3">
      <c r="A5" s="21">
        <v>1</v>
      </c>
      <c r="B5" t="s">
        <v>42</v>
      </c>
      <c r="C5" s="25">
        <v>62938.07</v>
      </c>
      <c r="D5" s="25">
        <v>79632.87</v>
      </c>
      <c r="E5" s="25">
        <v>78619.47</v>
      </c>
      <c r="G5" s="26">
        <f>C5/C$17</f>
        <v>4.6502049437125083E-2</v>
      </c>
      <c r="H5" s="26">
        <f t="shared" ref="H5:I16" si="1">D5/D$17</f>
        <v>5.581556555138948E-2</v>
      </c>
      <c r="I5" s="26">
        <f t="shared" si="1"/>
        <v>5.3487035691285031E-2</v>
      </c>
      <c r="K5" s="27">
        <f>AVERAGE(G5:I5)</f>
        <v>5.1934883559933198E-2</v>
      </c>
      <c r="L5" s="26">
        <f>ROUND(K5/K$17,4)</f>
        <v>5.1900000000000002E-2</v>
      </c>
      <c r="N5" s="20">
        <f>ROUND(L5*N$1,-2)</f>
        <v>79900</v>
      </c>
    </row>
    <row r="6" spans="1:14" x14ac:dyDescent="0.3">
      <c r="A6" s="21">
        <f>A5+1</f>
        <v>2</v>
      </c>
      <c r="B6" t="s">
        <v>43</v>
      </c>
      <c r="C6" s="25">
        <v>46868.94</v>
      </c>
      <c r="D6" s="25">
        <v>35534.449999999997</v>
      </c>
      <c r="E6" s="25">
        <v>47545.81</v>
      </c>
      <c r="G6" s="26">
        <f t="shared" ref="G6:G16" si="2">C6/C$17</f>
        <v>3.4629307268965341E-2</v>
      </c>
      <c r="H6" s="26">
        <f t="shared" si="1"/>
        <v>2.4906491795505699E-2</v>
      </c>
      <c r="I6" s="26">
        <f t="shared" si="1"/>
        <v>3.2346751211132008E-2</v>
      </c>
      <c r="K6" s="27">
        <f t="shared" ref="K6:K16" si="3">AVERAGE(G6:I6)</f>
        <v>3.062751675853435E-2</v>
      </c>
      <c r="L6" s="26">
        <f t="shared" ref="L6:L16" si="4">ROUND(K6/K$17,4)</f>
        <v>3.0599999999999999E-2</v>
      </c>
      <c r="N6" s="20">
        <f t="shared" ref="N6:N15" si="5">ROUND(L6*N$1,-2)</f>
        <v>47100</v>
      </c>
    </row>
    <row r="7" spans="1:14" x14ac:dyDescent="0.3">
      <c r="A7" s="21">
        <f t="shared" ref="A7:A16" si="6">A6+1</f>
        <v>3</v>
      </c>
      <c r="B7" t="s">
        <v>44</v>
      </c>
      <c r="C7" s="25">
        <v>89343.49</v>
      </c>
      <c r="D7" s="25">
        <v>82820.87</v>
      </c>
      <c r="E7" s="25">
        <v>105662.93</v>
      </c>
      <c r="G7" s="26">
        <f t="shared" si="2"/>
        <v>6.6011801583132287E-2</v>
      </c>
      <c r="H7" s="26">
        <f t="shared" si="1"/>
        <v>5.8050070260033407E-2</v>
      </c>
      <c r="I7" s="26">
        <f t="shared" si="1"/>
        <v>7.1885461809342535E-2</v>
      </c>
      <c r="K7" s="27">
        <f t="shared" si="3"/>
        <v>6.531577788416941E-2</v>
      </c>
      <c r="L7" s="26">
        <f t="shared" si="4"/>
        <v>6.5299999999999997E-2</v>
      </c>
      <c r="N7" s="20">
        <f t="shared" si="5"/>
        <v>100600</v>
      </c>
    </row>
    <row r="8" spans="1:14" x14ac:dyDescent="0.3">
      <c r="A8" s="21">
        <f t="shared" si="6"/>
        <v>4</v>
      </c>
      <c r="B8" t="s">
        <v>45</v>
      </c>
      <c r="C8" s="25">
        <v>120546.15</v>
      </c>
      <c r="D8" s="25">
        <v>97388.77</v>
      </c>
      <c r="E8" s="25">
        <v>106852.69</v>
      </c>
      <c r="G8" s="26">
        <f t="shared" si="2"/>
        <v>8.906601404769951E-2</v>
      </c>
      <c r="H8" s="26">
        <f t="shared" si="1"/>
        <v>6.8260873630501998E-2</v>
      </c>
      <c r="I8" s="26">
        <f t="shared" si="1"/>
        <v>7.2694888985385106E-2</v>
      </c>
      <c r="K8" s="27">
        <f t="shared" si="3"/>
        <v>7.6673925554528885E-2</v>
      </c>
      <c r="L8" s="26">
        <f t="shared" si="4"/>
        <v>7.6700000000000004E-2</v>
      </c>
      <c r="N8" s="20">
        <f t="shared" si="5"/>
        <v>118100</v>
      </c>
    </row>
    <row r="9" spans="1:14" x14ac:dyDescent="0.3">
      <c r="A9" s="21">
        <f t="shared" si="6"/>
        <v>5</v>
      </c>
      <c r="B9" t="s">
        <v>46</v>
      </c>
      <c r="C9" s="25">
        <v>141394.92000000001</v>
      </c>
      <c r="D9" s="25">
        <v>127975.26</v>
      </c>
      <c r="E9" s="25">
        <v>135328.43</v>
      </c>
      <c r="G9" s="26">
        <f t="shared" si="2"/>
        <v>0.1044702127027147</v>
      </c>
      <c r="H9" s="26">
        <f t="shared" si="1"/>
        <v>8.9699285150542887E-2</v>
      </c>
      <c r="I9" s="26">
        <f t="shared" si="1"/>
        <v>9.2067735453515098E-2</v>
      </c>
      <c r="K9" s="27">
        <f t="shared" si="3"/>
        <v>9.5412411102257566E-2</v>
      </c>
      <c r="L9" s="26">
        <f t="shared" si="4"/>
        <v>9.5399999999999999E-2</v>
      </c>
      <c r="N9" s="20">
        <f t="shared" si="5"/>
        <v>146900</v>
      </c>
    </row>
    <row r="10" spans="1:14" x14ac:dyDescent="0.3">
      <c r="A10" s="21">
        <f t="shared" si="6"/>
        <v>6</v>
      </c>
      <c r="B10" t="s">
        <v>47</v>
      </c>
      <c r="C10" s="25">
        <v>121524.11</v>
      </c>
      <c r="D10" s="25">
        <v>163847.91</v>
      </c>
      <c r="E10" s="25">
        <v>136028.85</v>
      </c>
      <c r="G10" s="26">
        <f t="shared" si="2"/>
        <v>8.9788583778031741E-2</v>
      </c>
      <c r="H10" s="26">
        <f t="shared" si="1"/>
        <v>0.11484282509299445</v>
      </c>
      <c r="I10" s="26">
        <f t="shared" si="1"/>
        <v>9.2544250870610772E-2</v>
      </c>
      <c r="K10" s="27">
        <f t="shared" si="3"/>
        <v>9.9058553247212314E-2</v>
      </c>
      <c r="L10" s="26">
        <f t="shared" si="4"/>
        <v>9.9099999999999994E-2</v>
      </c>
      <c r="N10" s="20">
        <f t="shared" si="5"/>
        <v>152600</v>
      </c>
    </row>
    <row r="11" spans="1:14" x14ac:dyDescent="0.3">
      <c r="A11" s="21">
        <f t="shared" si="6"/>
        <v>7</v>
      </c>
      <c r="B11" t="s">
        <v>48</v>
      </c>
      <c r="C11" s="25">
        <v>147605.07</v>
      </c>
      <c r="D11" s="25">
        <v>181883.05</v>
      </c>
      <c r="E11" s="25">
        <v>191748.41</v>
      </c>
      <c r="G11" s="26">
        <f t="shared" si="2"/>
        <v>0.10905860733114804</v>
      </c>
      <c r="H11" s="26">
        <f t="shared" si="1"/>
        <v>0.12748385559834338</v>
      </c>
      <c r="I11" s="26">
        <f t="shared" si="1"/>
        <v>0.13045183399757279</v>
      </c>
      <c r="K11" s="27">
        <f t="shared" si="3"/>
        <v>0.1223314323090214</v>
      </c>
      <c r="L11" s="26">
        <f t="shared" si="4"/>
        <v>0.12230000000000001</v>
      </c>
      <c r="N11" s="20">
        <f t="shared" si="5"/>
        <v>188300</v>
      </c>
    </row>
    <row r="12" spans="1:14" x14ac:dyDescent="0.3">
      <c r="A12" s="21">
        <f t="shared" si="6"/>
        <v>8</v>
      </c>
      <c r="B12" t="s">
        <v>49</v>
      </c>
      <c r="C12" s="25">
        <v>177890.13</v>
      </c>
      <c r="D12" s="25">
        <v>186172.04</v>
      </c>
      <c r="E12" s="25">
        <v>224088.39</v>
      </c>
      <c r="G12" s="26">
        <f t="shared" si="2"/>
        <v>0.13143484729729729</v>
      </c>
      <c r="H12" s="26">
        <f t="shared" si="1"/>
        <v>0.13049005646105566</v>
      </c>
      <c r="I12" s="26">
        <f t="shared" si="1"/>
        <v>0.15245363157412026</v>
      </c>
      <c r="K12" s="27">
        <f t="shared" si="3"/>
        <v>0.13812617844415775</v>
      </c>
      <c r="L12" s="26">
        <f t="shared" si="4"/>
        <v>0.1381</v>
      </c>
      <c r="N12" s="20">
        <f t="shared" si="5"/>
        <v>212700</v>
      </c>
    </row>
    <row r="13" spans="1:14" x14ac:dyDescent="0.3">
      <c r="A13" s="21">
        <f t="shared" si="6"/>
        <v>9</v>
      </c>
      <c r="B13" t="s">
        <v>50</v>
      </c>
      <c r="C13" s="25">
        <v>122994.42</v>
      </c>
      <c r="D13" s="25">
        <v>162743.66</v>
      </c>
      <c r="E13" s="25">
        <v>133440.79</v>
      </c>
      <c r="G13" s="26">
        <f t="shared" si="2"/>
        <v>9.0874928311759889E-2</v>
      </c>
      <c r="H13" s="26">
        <f t="shared" si="1"/>
        <v>0.11406884396861551</v>
      </c>
      <c r="I13" s="26">
        <f t="shared" si="1"/>
        <v>9.0783520893784594E-2</v>
      </c>
      <c r="K13" s="27">
        <f t="shared" si="3"/>
        <v>9.8575764391386669E-2</v>
      </c>
      <c r="L13" s="26">
        <f t="shared" si="4"/>
        <v>9.8599999999999993E-2</v>
      </c>
      <c r="N13" s="20">
        <f t="shared" si="5"/>
        <v>151800</v>
      </c>
    </row>
    <row r="14" spans="1:14" x14ac:dyDescent="0.3">
      <c r="A14" s="21">
        <f t="shared" si="6"/>
        <v>10</v>
      </c>
      <c r="B14" t="s">
        <v>51</v>
      </c>
      <c r="C14" s="25">
        <v>107075.5</v>
      </c>
      <c r="D14" s="25">
        <v>98357.99</v>
      </c>
      <c r="E14" s="25">
        <v>102452.57</v>
      </c>
      <c r="G14" s="26">
        <f t="shared" si="2"/>
        <v>7.9113169414074605E-2</v>
      </c>
      <c r="H14" s="26">
        <f t="shared" si="1"/>
        <v>6.894021072388716E-2</v>
      </c>
      <c r="I14" s="26">
        <f t="shared" si="1"/>
        <v>6.9701363647629244E-2</v>
      </c>
      <c r="K14" s="27">
        <f t="shared" si="3"/>
        <v>7.2584914595197003E-2</v>
      </c>
      <c r="L14" s="26">
        <f t="shared" si="4"/>
        <v>7.2599999999999998E-2</v>
      </c>
      <c r="N14" s="20">
        <f t="shared" si="5"/>
        <v>111800</v>
      </c>
    </row>
    <row r="15" spans="1:14" x14ac:dyDescent="0.3">
      <c r="A15" s="21">
        <f t="shared" si="6"/>
        <v>11</v>
      </c>
      <c r="B15" t="s">
        <v>52</v>
      </c>
      <c r="C15" s="25">
        <v>79179.55</v>
      </c>
      <c r="D15" s="25">
        <v>90478.29</v>
      </c>
      <c r="E15" s="25">
        <v>75911.360000000001</v>
      </c>
      <c r="G15" s="26">
        <f t="shared" si="2"/>
        <v>5.8502133104960441E-2</v>
      </c>
      <c r="H15" s="26">
        <f t="shared" si="1"/>
        <v>6.3417241228058557E-2</v>
      </c>
      <c r="I15" s="26">
        <f t="shared" si="1"/>
        <v>5.1644632324460933E-2</v>
      </c>
      <c r="K15" s="27">
        <f t="shared" si="3"/>
        <v>5.7854668885826639E-2</v>
      </c>
      <c r="L15" s="26">
        <f t="shared" si="4"/>
        <v>5.79E-2</v>
      </c>
      <c r="N15" s="20">
        <f t="shared" si="5"/>
        <v>89200</v>
      </c>
    </row>
    <row r="16" spans="1:14" x14ac:dyDescent="0.3">
      <c r="A16" s="21">
        <f t="shared" si="6"/>
        <v>12</v>
      </c>
      <c r="B16" t="s">
        <v>53</v>
      </c>
      <c r="C16" s="25">
        <v>136086.88</v>
      </c>
      <c r="D16" s="25">
        <v>119879.22</v>
      </c>
      <c r="E16" s="25">
        <v>132199.29</v>
      </c>
      <c r="G16" s="26">
        <f t="shared" si="2"/>
        <v>0.10054834572309111</v>
      </c>
      <c r="H16" s="26">
        <f t="shared" si="1"/>
        <v>8.4024680539071889E-2</v>
      </c>
      <c r="I16" s="26">
        <f t="shared" si="1"/>
        <v>8.9938893541161496E-2</v>
      </c>
      <c r="K16" s="27">
        <f t="shared" si="3"/>
        <v>9.1503973267774819E-2</v>
      </c>
      <c r="L16" s="26">
        <f t="shared" si="4"/>
        <v>9.1499999999999998E-2</v>
      </c>
      <c r="N16" s="20">
        <f>N1-SUM(N5:N15)</f>
        <v>141000</v>
      </c>
    </row>
    <row r="17" spans="1:14" ht="15" thickBot="1" x14ac:dyDescent="0.35">
      <c r="A17" s="21"/>
      <c r="C17" s="28">
        <f t="shared" ref="C17:E17" si="7">SUM(C5:C16)</f>
        <v>1353447.23</v>
      </c>
      <c r="D17" s="28">
        <f t="shared" si="7"/>
        <v>1426714.38</v>
      </c>
      <c r="E17" s="28">
        <f t="shared" si="7"/>
        <v>1469878.9900000002</v>
      </c>
      <c r="G17" s="29">
        <f t="shared" ref="G17:L17" si="8">SUM(G5:G16)</f>
        <v>1</v>
      </c>
      <c r="H17" s="29">
        <f t="shared" si="8"/>
        <v>1</v>
      </c>
      <c r="I17" s="29">
        <f t="shared" si="8"/>
        <v>0.99999999999999989</v>
      </c>
      <c r="K17" s="29">
        <f t="shared" si="8"/>
        <v>1</v>
      </c>
      <c r="L17" s="29">
        <f t="shared" si="8"/>
        <v>0.99999999999999989</v>
      </c>
      <c r="N17" s="30">
        <f t="shared" ref="N17" si="9">SUM(N5:N16)</f>
        <v>1540000</v>
      </c>
    </row>
    <row r="18" spans="1:14" ht="15" thickTop="1" x14ac:dyDescent="0.3">
      <c r="A18" s="21"/>
      <c r="N18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B827-1A02-4079-8185-C86FD8E40852}">
  <dimension ref="A1:L91"/>
  <sheetViews>
    <sheetView zoomScale="90" zoomScaleNormal="90" workbookViewId="0">
      <selection activeCell="P46" sqref="P46"/>
    </sheetView>
  </sheetViews>
  <sheetFormatPr defaultRowHeight="14.4" x14ac:dyDescent="0.3"/>
  <cols>
    <col min="7" max="7" width="11.33203125" bestFit="1" customWidth="1"/>
    <col min="8" max="8" width="12" bestFit="1" customWidth="1"/>
  </cols>
  <sheetData>
    <row r="1" spans="1:12" ht="25.8" x14ac:dyDescent="0.5">
      <c r="A1" s="42" t="s">
        <v>60</v>
      </c>
      <c r="B1" s="35"/>
      <c r="C1" s="33"/>
      <c r="D1" s="36"/>
      <c r="F1" s="43"/>
      <c r="G1" s="37"/>
      <c r="H1" s="37"/>
      <c r="I1" s="37"/>
      <c r="J1" s="37"/>
      <c r="K1" s="37"/>
      <c r="L1" s="37"/>
    </row>
    <row r="2" spans="1:12" x14ac:dyDescent="0.3">
      <c r="A2" s="37"/>
      <c r="B2" s="35"/>
      <c r="C2" s="33"/>
      <c r="D2" s="36"/>
      <c r="F2" s="37"/>
      <c r="G2" s="37"/>
      <c r="H2" s="37"/>
      <c r="I2" s="37"/>
      <c r="J2" s="37"/>
      <c r="K2" s="37"/>
      <c r="L2" s="37"/>
    </row>
    <row r="3" spans="1:12" x14ac:dyDescent="0.3">
      <c r="A3" s="38" t="s">
        <v>61</v>
      </c>
      <c r="B3" s="39" t="s">
        <v>62</v>
      </c>
      <c r="C3" s="34" t="s">
        <v>63</v>
      </c>
      <c r="D3" s="40" t="s">
        <v>64</v>
      </c>
      <c r="F3" s="37"/>
      <c r="G3" s="44"/>
      <c r="H3" s="37"/>
      <c r="I3" s="37"/>
      <c r="J3" s="37"/>
      <c r="K3" s="37"/>
      <c r="L3" s="37"/>
    </row>
    <row r="4" spans="1:12" x14ac:dyDescent="0.3">
      <c r="A4" s="37"/>
      <c r="B4" s="35"/>
      <c r="C4" s="33"/>
      <c r="D4" s="36"/>
      <c r="F4" s="37"/>
      <c r="G4" s="44"/>
      <c r="H4" s="37"/>
      <c r="I4" s="37"/>
      <c r="J4" s="37"/>
      <c r="K4" s="37"/>
      <c r="L4" s="37"/>
    </row>
    <row r="5" spans="1:12" x14ac:dyDescent="0.3">
      <c r="A5" s="38" t="s">
        <v>3</v>
      </c>
      <c r="B5" s="35">
        <f>AVERAGE(B10:B59)</f>
        <v>257370.97879790113</v>
      </c>
      <c r="C5" s="33">
        <f>AVERAGE(C10:C59)</f>
        <v>0.2157958461285068</v>
      </c>
      <c r="D5" s="36">
        <f>AVERAGE(D10:D59)</f>
        <v>4.3602242551366652</v>
      </c>
      <c r="F5" s="37"/>
      <c r="G5" s="37"/>
      <c r="H5" s="37"/>
      <c r="I5" s="37"/>
      <c r="J5" s="37"/>
      <c r="K5" s="37"/>
      <c r="L5" s="37"/>
    </row>
    <row r="6" spans="1:12" x14ac:dyDescent="0.3">
      <c r="A6" s="38" t="s">
        <v>65</v>
      </c>
      <c r="B6" s="35">
        <f>_xlfn.STDEV.S(B10:B59)</f>
        <v>356946.33251244028</v>
      </c>
      <c r="C6" s="33">
        <f>_xlfn.STDEV.S(C10:C59)</f>
        <v>0.15680779525944152</v>
      </c>
      <c r="D6" s="36">
        <f>_xlfn.STDEV.S(D10:D59)</f>
        <v>2.1291722084066089</v>
      </c>
      <c r="F6" s="37" t="s">
        <v>69</v>
      </c>
      <c r="G6" s="37">
        <f>ROUNDUP(MAX(H9:H41),7)</f>
        <v>1.1999999999999999E-6</v>
      </c>
      <c r="I6" s="37"/>
      <c r="J6" s="37"/>
      <c r="K6" s="37"/>
      <c r="L6" s="37"/>
    </row>
    <row r="7" spans="1:12" x14ac:dyDescent="0.3">
      <c r="A7" s="38" t="s">
        <v>66</v>
      </c>
      <c r="B7" s="33">
        <f>COUNTIF(B10:B59,"&lt;=0")/250</f>
        <v>5.1999999999999998E-2</v>
      </c>
      <c r="C7" s="33">
        <f>COUNTIF(C10:C59,"&lt;=0.12")/250</f>
        <v>5.1999999999999998E-2</v>
      </c>
      <c r="D7" s="41">
        <f>(250-COUNTIF(D10:D59,"&gt;0"))/250</f>
        <v>0.81200000000000006</v>
      </c>
      <c r="F7" s="37"/>
      <c r="G7" s="37"/>
      <c r="H7" s="37"/>
      <c r="I7" s="37"/>
      <c r="J7" s="37"/>
      <c r="K7" s="37"/>
      <c r="L7" s="37"/>
    </row>
    <row r="8" spans="1:12" ht="28.8" x14ac:dyDescent="0.3">
      <c r="A8" s="37"/>
      <c r="B8" s="35"/>
      <c r="C8" s="33"/>
      <c r="D8" s="36"/>
      <c r="F8" s="46"/>
      <c r="G8" s="46" t="s">
        <v>70</v>
      </c>
      <c r="H8" s="46" t="s">
        <v>71</v>
      </c>
      <c r="I8" s="46" t="s">
        <v>72</v>
      </c>
      <c r="J8" s="46" t="s">
        <v>67</v>
      </c>
      <c r="K8" s="46" t="s">
        <v>68</v>
      </c>
      <c r="L8" s="46" t="s">
        <v>73</v>
      </c>
    </row>
    <row r="9" spans="1:12" x14ac:dyDescent="0.3">
      <c r="A9" s="37"/>
      <c r="B9" s="35"/>
      <c r="C9" s="33"/>
      <c r="D9" s="36"/>
      <c r="F9" s="37">
        <v>-4</v>
      </c>
      <c r="G9" s="45">
        <f>(F9*$B$6)+$B$5</f>
        <v>-1170414.3512518599</v>
      </c>
      <c r="H9" s="37">
        <f>NORMDIST(G9,$B$5,$B$6,FALSE)</f>
        <v>3.7493094500479598E-10</v>
      </c>
      <c r="I9" s="37">
        <f>IF(G9&lt;0,H9,NA())</f>
        <v>3.7493094500479598E-10</v>
      </c>
      <c r="J9" s="37" t="e">
        <f>IF(F9=0,$G$6,NA())</f>
        <v>#N/A</v>
      </c>
      <c r="K9" s="37" t="e">
        <f>IF(AND(INT(F9)=F9,F9&lt;&gt;0,ABS(F9)&lt;&gt;4),$G$6,NA())</f>
        <v>#N/A</v>
      </c>
      <c r="L9" s="37">
        <f ca="1">COUNTIFS(OFFSET($B$10,0,0,250,1),"&gt;"&amp;G9,OFFSET($B$10,0,0,250,1),"&lt;"&amp;G10)</f>
        <v>0</v>
      </c>
    </row>
    <row r="10" spans="1:12" x14ac:dyDescent="0.3">
      <c r="A10" s="37">
        <v>1</v>
      </c>
      <c r="B10" s="35">
        <v>279085.34452763502</v>
      </c>
      <c r="C10" s="33">
        <v>0.25918823322770135</v>
      </c>
      <c r="D10" s="36">
        <v>3.3576723824059744</v>
      </c>
      <c r="F10" s="37">
        <f>F9+0.25</f>
        <v>-3.75</v>
      </c>
      <c r="G10" s="45">
        <f t="shared" ref="G10:G41" si="0">(F10*$B$6)+$B$5</f>
        <v>-1081177.7681237499</v>
      </c>
      <c r="H10" s="37">
        <f t="shared" ref="H10:H41" si="1">NORMDIST(G10,$B$5,$B$6,FALSE)</f>
        <v>9.8781147262566923E-10</v>
      </c>
      <c r="I10" s="37">
        <f t="shared" ref="I10:I41" si="2">IF(G10&lt;0,H10,NA())</f>
        <v>9.8781147262566923E-10</v>
      </c>
      <c r="J10" s="37" t="e">
        <f t="shared" ref="J10:J41" si="3">IF(F10=0,$G$6,NA())</f>
        <v>#N/A</v>
      </c>
      <c r="K10" s="37" t="e">
        <f t="shared" ref="K10:K41" si="4">IF(AND(INT(F10)=F10,F10&lt;&gt;0,ABS(F10)&lt;&gt;4),$G$6,NA())</f>
        <v>#N/A</v>
      </c>
      <c r="L10" s="37">
        <f t="shared" ref="L10:L41" ca="1" si="5">COUNTIFS(OFFSET($B$10,0,0,250,1),"&gt;"&amp;G10,OFFSET($B$10,0,0,250,1),"&lt;"&amp;G11)</f>
        <v>0</v>
      </c>
    </row>
    <row r="11" spans="1:12" x14ac:dyDescent="0.3">
      <c r="A11" s="37">
        <v>2</v>
      </c>
      <c r="B11" s="35">
        <v>646354.55680352543</v>
      </c>
      <c r="C11" s="33">
        <v>0.36728274002975647</v>
      </c>
      <c r="D11" s="36">
        <v>2.554912760498663</v>
      </c>
      <c r="F11" s="37">
        <f t="shared" ref="F11:F41" si="6">F10+0.25</f>
        <v>-3.5</v>
      </c>
      <c r="G11" s="45">
        <f t="shared" si="0"/>
        <v>-991941.18499563984</v>
      </c>
      <c r="H11" s="37">
        <f t="shared" si="1"/>
        <v>2.4448568749907112E-9</v>
      </c>
      <c r="I11" s="37">
        <f t="shared" si="2"/>
        <v>2.4448568749907112E-9</v>
      </c>
      <c r="J11" s="37" t="e">
        <f t="shared" si="3"/>
        <v>#N/A</v>
      </c>
      <c r="K11" s="37" t="e">
        <f t="shared" si="4"/>
        <v>#N/A</v>
      </c>
      <c r="L11" s="37">
        <f t="shared" ca="1" si="5"/>
        <v>0</v>
      </c>
    </row>
    <row r="12" spans="1:12" x14ac:dyDescent="0.3">
      <c r="A12" s="37">
        <v>3</v>
      </c>
      <c r="B12" s="35">
        <v>447935.8209052122</v>
      </c>
      <c r="C12" s="33">
        <v>0.3305176368503806</v>
      </c>
      <c r="D12" s="36">
        <v>2.8051263090553675</v>
      </c>
      <c r="F12" s="37">
        <f t="shared" si="6"/>
        <v>-3.25</v>
      </c>
      <c r="G12" s="45">
        <f t="shared" si="0"/>
        <v>-902704.6018675298</v>
      </c>
      <c r="H12" s="37">
        <f t="shared" si="1"/>
        <v>5.6844625437608265E-9</v>
      </c>
      <c r="I12" s="37">
        <f t="shared" si="2"/>
        <v>5.6844625437608265E-9</v>
      </c>
      <c r="J12" s="37" t="e">
        <f t="shared" si="3"/>
        <v>#N/A</v>
      </c>
      <c r="K12" s="37" t="e">
        <f t="shared" si="4"/>
        <v>#N/A</v>
      </c>
      <c r="L12" s="37">
        <f t="shared" ca="1" si="5"/>
        <v>0</v>
      </c>
    </row>
    <row r="13" spans="1:12" x14ac:dyDescent="0.3">
      <c r="A13" s="37">
        <v>4</v>
      </c>
      <c r="B13" s="35">
        <v>544277.6240071886</v>
      </c>
      <c r="C13" s="33">
        <v>0.32772624167850739</v>
      </c>
      <c r="D13" s="36">
        <v>2.8245001145783144</v>
      </c>
      <c r="F13" s="37">
        <f t="shared" si="6"/>
        <v>-3</v>
      </c>
      <c r="G13" s="45">
        <f t="shared" si="0"/>
        <v>-813468.01873941976</v>
      </c>
      <c r="H13" s="37">
        <f t="shared" si="1"/>
        <v>1.2416007697133408E-8</v>
      </c>
      <c r="I13" s="37">
        <f t="shared" si="2"/>
        <v>1.2416007697133408E-8</v>
      </c>
      <c r="J13" s="37" t="e">
        <f t="shared" si="3"/>
        <v>#N/A</v>
      </c>
      <c r="K13" s="37">
        <f t="shared" si="4"/>
        <v>1.1999999999999999E-6</v>
      </c>
      <c r="L13" s="37">
        <f t="shared" ca="1" si="5"/>
        <v>0</v>
      </c>
    </row>
    <row r="14" spans="1:12" x14ac:dyDescent="0.3">
      <c r="A14" s="37">
        <v>5</v>
      </c>
      <c r="B14" s="35">
        <v>76838.94337053271</v>
      </c>
      <c r="C14" s="33">
        <v>0.16823643042989556</v>
      </c>
      <c r="D14" s="36">
        <v>4.6086627082995708</v>
      </c>
      <c r="F14" s="37">
        <f t="shared" si="6"/>
        <v>-2.75</v>
      </c>
      <c r="G14" s="45">
        <f t="shared" si="0"/>
        <v>-724231.43561130972</v>
      </c>
      <c r="H14" s="37">
        <f t="shared" si="1"/>
        <v>2.5475993653119022E-8</v>
      </c>
      <c r="I14" s="37">
        <f t="shared" si="2"/>
        <v>2.5475993653119022E-8</v>
      </c>
      <c r="J14" s="37" t="e">
        <f t="shared" si="3"/>
        <v>#N/A</v>
      </c>
      <c r="K14" s="37" t="e">
        <f t="shared" si="4"/>
        <v>#N/A</v>
      </c>
      <c r="L14" s="37">
        <f t="shared" ca="1" si="5"/>
        <v>0</v>
      </c>
    </row>
    <row r="15" spans="1:12" x14ac:dyDescent="0.3">
      <c r="A15" s="37">
        <v>6</v>
      </c>
      <c r="B15" s="35">
        <v>155147.46727012156</v>
      </c>
      <c r="C15" s="33">
        <v>0.16532068512857312</v>
      </c>
      <c r="D15" s="36">
        <v>4.7601568694963659</v>
      </c>
      <c r="F15" s="37">
        <f t="shared" si="6"/>
        <v>-2.5</v>
      </c>
      <c r="G15" s="45">
        <f t="shared" si="0"/>
        <v>-634994.85248319944</v>
      </c>
      <c r="H15" s="37">
        <f t="shared" si="1"/>
        <v>4.9106263034535159E-8</v>
      </c>
      <c r="I15" s="37">
        <f t="shared" si="2"/>
        <v>4.9106263034535159E-8</v>
      </c>
      <c r="J15" s="37" t="e">
        <f t="shared" si="3"/>
        <v>#N/A</v>
      </c>
      <c r="K15" s="37" t="e">
        <f t="shared" si="4"/>
        <v>#N/A</v>
      </c>
      <c r="L15" s="37">
        <f t="shared" ca="1" si="5"/>
        <v>0</v>
      </c>
    </row>
    <row r="16" spans="1:12" x14ac:dyDescent="0.3">
      <c r="A16" s="37">
        <v>7</v>
      </c>
      <c r="B16" s="35">
        <v>759460.11675887101</v>
      </c>
      <c r="C16" s="33">
        <v>0.44322324247858202</v>
      </c>
      <c r="D16" s="36">
        <v>2.1183512585281514</v>
      </c>
      <c r="F16" s="37">
        <f t="shared" si="6"/>
        <v>-2.25</v>
      </c>
      <c r="G16" s="45">
        <f t="shared" si="0"/>
        <v>-545758.2693550894</v>
      </c>
      <c r="H16" s="37">
        <f t="shared" si="1"/>
        <v>8.8919955031506675E-8</v>
      </c>
      <c r="I16" s="37">
        <f t="shared" si="2"/>
        <v>8.8919955031506675E-8</v>
      </c>
      <c r="J16" s="37" t="e">
        <f t="shared" si="3"/>
        <v>#N/A</v>
      </c>
      <c r="K16" s="37" t="e">
        <f t="shared" si="4"/>
        <v>#N/A</v>
      </c>
      <c r="L16" s="37">
        <f t="shared" ca="1" si="5"/>
        <v>0</v>
      </c>
    </row>
    <row r="17" spans="1:12" x14ac:dyDescent="0.3">
      <c r="A17" s="37">
        <v>8</v>
      </c>
      <c r="B17" s="35">
        <v>295619.57546323212</v>
      </c>
      <c r="C17" s="33">
        <v>0.27325075239727514</v>
      </c>
      <c r="D17" s="36">
        <v>3.2659713191862587</v>
      </c>
      <c r="F17" s="37">
        <f t="shared" si="6"/>
        <v>-2</v>
      </c>
      <c r="G17" s="45">
        <f t="shared" si="0"/>
        <v>-456521.68622697942</v>
      </c>
      <c r="H17" s="37">
        <f t="shared" si="1"/>
        <v>1.5125793878637589E-7</v>
      </c>
      <c r="I17" s="37">
        <f t="shared" si="2"/>
        <v>1.5125793878637589E-7</v>
      </c>
      <c r="J17" s="37" t="e">
        <f t="shared" si="3"/>
        <v>#N/A</v>
      </c>
      <c r="K17" s="37">
        <f t="shared" si="4"/>
        <v>1.1999999999999999E-6</v>
      </c>
      <c r="L17" s="37">
        <f t="shared" ca="1" si="5"/>
        <v>0</v>
      </c>
    </row>
    <row r="18" spans="1:12" x14ac:dyDescent="0.3">
      <c r="A18" s="37">
        <v>9</v>
      </c>
      <c r="B18" s="35">
        <v>-131734.46957324125</v>
      </c>
      <c r="C18" s="33">
        <v>0</v>
      </c>
      <c r="D18" s="36">
        <v>7.847121593164827</v>
      </c>
      <c r="F18" s="37">
        <f t="shared" si="6"/>
        <v>-1.75</v>
      </c>
      <c r="G18" s="45">
        <f t="shared" si="0"/>
        <v>-367285.10309886938</v>
      </c>
      <c r="H18" s="37">
        <f t="shared" si="1"/>
        <v>2.4170949794954007E-7</v>
      </c>
      <c r="I18" s="37">
        <f t="shared" si="2"/>
        <v>2.4170949794954007E-7</v>
      </c>
      <c r="J18" s="37" t="e">
        <f t="shared" si="3"/>
        <v>#N/A</v>
      </c>
      <c r="K18" s="37" t="e">
        <f t="shared" si="4"/>
        <v>#N/A</v>
      </c>
      <c r="L18" s="37">
        <f t="shared" ca="1" si="5"/>
        <v>1</v>
      </c>
    </row>
    <row r="19" spans="1:12" x14ac:dyDescent="0.3">
      <c r="A19" s="37">
        <v>10</v>
      </c>
      <c r="B19" s="35">
        <v>58345.759420229471</v>
      </c>
      <c r="C19" s="33">
        <v>0.15810425480269252</v>
      </c>
      <c r="D19" s="36">
        <v>4.8451057137420754</v>
      </c>
      <c r="F19" s="37">
        <f t="shared" si="6"/>
        <v>-1.5</v>
      </c>
      <c r="G19" s="45">
        <f t="shared" si="0"/>
        <v>-278048.51997075934</v>
      </c>
      <c r="H19" s="37">
        <f t="shared" si="1"/>
        <v>3.6284893237102456E-7</v>
      </c>
      <c r="I19" s="37">
        <f t="shared" si="2"/>
        <v>3.6284893237102456E-7</v>
      </c>
      <c r="J19" s="37" t="e">
        <f t="shared" si="3"/>
        <v>#N/A</v>
      </c>
      <c r="K19" s="37" t="e">
        <f t="shared" si="4"/>
        <v>#N/A</v>
      </c>
      <c r="L19" s="37">
        <f t="shared" ca="1" si="5"/>
        <v>4</v>
      </c>
    </row>
    <row r="20" spans="1:12" x14ac:dyDescent="0.3">
      <c r="A20" s="37">
        <v>11</v>
      </c>
      <c r="B20" s="35">
        <v>12497.57339446852</v>
      </c>
      <c r="C20" s="33">
        <v>0.11032484044497592</v>
      </c>
      <c r="D20" s="36">
        <v>5.9573697236768774</v>
      </c>
      <c r="F20" s="37">
        <f t="shared" si="6"/>
        <v>-1.25</v>
      </c>
      <c r="G20" s="45">
        <f t="shared" si="0"/>
        <v>-188811.93684264919</v>
      </c>
      <c r="H20" s="37">
        <f t="shared" si="1"/>
        <v>5.1169901117461756E-7</v>
      </c>
      <c r="I20" s="37">
        <f t="shared" si="2"/>
        <v>5.1169901117461756E-7</v>
      </c>
      <c r="J20" s="37" t="e">
        <f t="shared" si="3"/>
        <v>#N/A</v>
      </c>
      <c r="K20" s="37" t="e">
        <f t="shared" si="4"/>
        <v>#N/A</v>
      </c>
      <c r="L20" s="37">
        <f t="shared" ca="1" si="5"/>
        <v>6</v>
      </c>
    </row>
    <row r="21" spans="1:12" x14ac:dyDescent="0.3">
      <c r="A21" s="37">
        <v>12</v>
      </c>
      <c r="B21" s="35">
        <v>874034.84033004043</v>
      </c>
      <c r="C21" s="33">
        <v>0.49990609163417976</v>
      </c>
      <c r="D21" s="36">
        <v>1.8926508357237419</v>
      </c>
      <c r="F21" s="37">
        <f t="shared" si="6"/>
        <v>-1</v>
      </c>
      <c r="G21" s="45">
        <f t="shared" si="0"/>
        <v>-99575.353714539146</v>
      </c>
      <c r="H21" s="37">
        <f t="shared" si="1"/>
        <v>6.7789105106076471E-7</v>
      </c>
      <c r="I21" s="37">
        <f t="shared" si="2"/>
        <v>6.7789105106076471E-7</v>
      </c>
      <c r="J21" s="37" t="e">
        <f t="shared" si="3"/>
        <v>#N/A</v>
      </c>
      <c r="K21" s="37">
        <f t="shared" si="4"/>
        <v>1.1999999999999999E-6</v>
      </c>
      <c r="L21" s="37">
        <f t="shared" ca="1" si="5"/>
        <v>1</v>
      </c>
    </row>
    <row r="22" spans="1:12" x14ac:dyDescent="0.3">
      <c r="A22" s="37">
        <v>13</v>
      </c>
      <c r="B22" s="35">
        <v>726909.90635053255</v>
      </c>
      <c r="C22" s="33">
        <v>0.45820409820777286</v>
      </c>
      <c r="D22" s="36">
        <v>2.0701247438432855</v>
      </c>
      <c r="F22" s="37">
        <f t="shared" si="6"/>
        <v>-0.75</v>
      </c>
      <c r="G22" s="45">
        <f t="shared" si="0"/>
        <v>-10338.770586429106</v>
      </c>
      <c r="H22" s="37">
        <f t="shared" si="1"/>
        <v>8.4364904391981434E-7</v>
      </c>
      <c r="I22" s="37">
        <f t="shared" si="2"/>
        <v>8.4364904391981434E-7</v>
      </c>
      <c r="J22" s="37" t="e">
        <f t="shared" si="3"/>
        <v>#N/A</v>
      </c>
      <c r="K22" s="37" t="e">
        <f t="shared" si="4"/>
        <v>#N/A</v>
      </c>
      <c r="L22" s="37">
        <f t="shared" ca="1" si="5"/>
        <v>6</v>
      </c>
    </row>
    <row r="23" spans="1:12" x14ac:dyDescent="0.3">
      <c r="A23" s="37">
        <v>14</v>
      </c>
      <c r="B23" s="35">
        <v>-135961.8183756838</v>
      </c>
      <c r="C23" s="33">
        <v>0</v>
      </c>
      <c r="D23" s="36">
        <v>7.8537495987933372</v>
      </c>
      <c r="F23" s="37">
        <f t="shared" si="6"/>
        <v>-0.5</v>
      </c>
      <c r="G23" s="45">
        <f t="shared" si="0"/>
        <v>78897.812541680993</v>
      </c>
      <c r="H23" s="37">
        <f t="shared" si="1"/>
        <v>9.8632565933992152E-7</v>
      </c>
      <c r="I23" s="37" t="e">
        <f t="shared" si="2"/>
        <v>#N/A</v>
      </c>
      <c r="J23" s="37" t="e">
        <f t="shared" si="3"/>
        <v>#N/A</v>
      </c>
      <c r="K23" s="37" t="e">
        <f t="shared" si="4"/>
        <v>#N/A</v>
      </c>
      <c r="L23" s="37">
        <f t="shared" ca="1" si="5"/>
        <v>6</v>
      </c>
    </row>
    <row r="24" spans="1:12" x14ac:dyDescent="0.3">
      <c r="A24" s="37">
        <v>15</v>
      </c>
      <c r="B24" s="35">
        <v>-213721.24196650251</v>
      </c>
      <c r="C24" s="33">
        <v>0</v>
      </c>
      <c r="D24" s="36">
        <v>8.9662158335225914</v>
      </c>
      <c r="F24" s="37">
        <f t="shared" si="6"/>
        <v>-0.25</v>
      </c>
      <c r="G24" s="45">
        <f t="shared" si="0"/>
        <v>168134.39566979106</v>
      </c>
      <c r="H24" s="37">
        <f t="shared" si="1"/>
        <v>1.0832668151573547E-6</v>
      </c>
      <c r="I24" s="37" t="e">
        <f t="shared" si="2"/>
        <v>#N/A</v>
      </c>
      <c r="J24" s="37" t="e">
        <f t="shared" si="3"/>
        <v>#N/A</v>
      </c>
      <c r="K24" s="37" t="e">
        <f t="shared" si="4"/>
        <v>#N/A</v>
      </c>
      <c r="L24" s="37">
        <f t="shared" ca="1" si="5"/>
        <v>3</v>
      </c>
    </row>
    <row r="25" spans="1:12" x14ac:dyDescent="0.3">
      <c r="A25" s="37">
        <v>16</v>
      </c>
      <c r="B25" s="35">
        <v>74903.157992423628</v>
      </c>
      <c r="C25" s="33">
        <v>0.15319542929002683</v>
      </c>
      <c r="D25" s="36">
        <v>4.9904135432687431</v>
      </c>
      <c r="F25" s="37">
        <f t="shared" si="6"/>
        <v>0</v>
      </c>
      <c r="G25" s="45">
        <f t="shared" si="0"/>
        <v>257370.97879790113</v>
      </c>
      <c r="H25" s="37">
        <f t="shared" si="1"/>
        <v>1.1176533951011494E-6</v>
      </c>
      <c r="I25" s="37" t="e">
        <f t="shared" si="2"/>
        <v>#N/A</v>
      </c>
      <c r="J25" s="37">
        <f t="shared" si="3"/>
        <v>1.1999999999999999E-6</v>
      </c>
      <c r="K25" s="37" t="e">
        <f t="shared" si="4"/>
        <v>#N/A</v>
      </c>
      <c r="L25" s="37">
        <f t="shared" ca="1" si="5"/>
        <v>4</v>
      </c>
    </row>
    <row r="26" spans="1:12" x14ac:dyDescent="0.3">
      <c r="A26" s="37">
        <v>17</v>
      </c>
      <c r="B26" s="35">
        <v>144497.63998384355</v>
      </c>
      <c r="C26" s="33">
        <v>0.18986884585906383</v>
      </c>
      <c r="D26" s="36">
        <v>4.2539768742553443</v>
      </c>
      <c r="F26" s="37">
        <f t="shared" si="6"/>
        <v>0.25</v>
      </c>
      <c r="G26" s="45">
        <f t="shared" si="0"/>
        <v>346607.56192601123</v>
      </c>
      <c r="H26" s="37">
        <f t="shared" si="1"/>
        <v>1.0832668151573544E-6</v>
      </c>
      <c r="I26" s="37" t="e">
        <f t="shared" si="2"/>
        <v>#N/A</v>
      </c>
      <c r="J26" s="37" t="e">
        <f t="shared" si="3"/>
        <v>#N/A</v>
      </c>
      <c r="K26" s="37" t="e">
        <f t="shared" si="4"/>
        <v>#N/A</v>
      </c>
      <c r="L26" s="37">
        <f t="shared" ca="1" si="5"/>
        <v>4</v>
      </c>
    </row>
    <row r="27" spans="1:12" x14ac:dyDescent="0.3">
      <c r="A27" s="37">
        <v>18</v>
      </c>
      <c r="B27" s="35">
        <v>418489.12000427261</v>
      </c>
      <c r="C27" s="33">
        <v>0.28920733442854374</v>
      </c>
      <c r="D27" s="36">
        <v>3.1379976212602596</v>
      </c>
      <c r="F27" s="37">
        <f t="shared" si="6"/>
        <v>0.5</v>
      </c>
      <c r="G27" s="45">
        <f t="shared" si="0"/>
        <v>435844.14505412127</v>
      </c>
      <c r="H27" s="37">
        <f t="shared" si="1"/>
        <v>9.8632565933992152E-7</v>
      </c>
      <c r="I27" s="37" t="e">
        <f t="shared" si="2"/>
        <v>#N/A</v>
      </c>
      <c r="J27" s="37" t="e">
        <f t="shared" si="3"/>
        <v>#N/A</v>
      </c>
      <c r="K27" s="37" t="e">
        <f t="shared" si="4"/>
        <v>#N/A</v>
      </c>
      <c r="L27" s="37">
        <f t="shared" ca="1" si="5"/>
        <v>2</v>
      </c>
    </row>
    <row r="28" spans="1:12" x14ac:dyDescent="0.3">
      <c r="A28" s="37">
        <v>19</v>
      </c>
      <c r="B28" s="35">
        <v>103440.39155033452</v>
      </c>
      <c r="C28" s="33">
        <v>0.17578651947575485</v>
      </c>
      <c r="D28" s="36">
        <v>4.5083794703278857</v>
      </c>
      <c r="F28" s="37">
        <f t="shared" si="6"/>
        <v>0.75</v>
      </c>
      <c r="G28" s="45">
        <f t="shared" si="0"/>
        <v>525080.72818223131</v>
      </c>
      <c r="H28" s="37">
        <f t="shared" si="1"/>
        <v>8.4364904391981466E-7</v>
      </c>
      <c r="I28" s="37" t="e">
        <f t="shared" si="2"/>
        <v>#N/A</v>
      </c>
      <c r="J28" s="37" t="e">
        <f t="shared" si="3"/>
        <v>#N/A</v>
      </c>
      <c r="K28" s="37" t="e">
        <f t="shared" si="4"/>
        <v>#N/A</v>
      </c>
      <c r="L28" s="37">
        <f t="shared" ca="1" si="5"/>
        <v>4</v>
      </c>
    </row>
    <row r="29" spans="1:12" x14ac:dyDescent="0.3">
      <c r="A29" s="37">
        <v>20</v>
      </c>
      <c r="B29" s="35">
        <v>842617.54134152282</v>
      </c>
      <c r="C29" s="33">
        <v>0.47113241582332943</v>
      </c>
      <c r="D29" s="36">
        <v>2.0431237339281259</v>
      </c>
      <c r="F29" s="37">
        <f t="shared" si="6"/>
        <v>1</v>
      </c>
      <c r="G29" s="45">
        <f t="shared" si="0"/>
        <v>614317.31131034135</v>
      </c>
      <c r="H29" s="37">
        <f t="shared" si="1"/>
        <v>6.7789105106076492E-7</v>
      </c>
      <c r="I29" s="37" t="e">
        <f t="shared" si="2"/>
        <v>#N/A</v>
      </c>
      <c r="J29" s="37" t="e">
        <f t="shared" si="3"/>
        <v>#N/A</v>
      </c>
      <c r="K29" s="37">
        <f t="shared" si="4"/>
        <v>1.1999999999999999E-6</v>
      </c>
      <c r="L29" s="37">
        <f t="shared" ca="1" si="5"/>
        <v>1</v>
      </c>
    </row>
    <row r="30" spans="1:12" x14ac:dyDescent="0.3">
      <c r="A30" s="37">
        <v>21</v>
      </c>
      <c r="B30" s="35">
        <v>155414.27153389552</v>
      </c>
      <c r="C30" s="33">
        <v>0.20951814149604697</v>
      </c>
      <c r="D30" s="36">
        <v>3.9876261863120188</v>
      </c>
      <c r="F30" s="37">
        <f t="shared" si="6"/>
        <v>1.25</v>
      </c>
      <c r="G30" s="45">
        <f t="shared" si="0"/>
        <v>703553.89443845139</v>
      </c>
      <c r="H30" s="37">
        <f t="shared" si="1"/>
        <v>5.1169901117461766E-7</v>
      </c>
      <c r="I30" s="37" t="e">
        <f t="shared" si="2"/>
        <v>#N/A</v>
      </c>
      <c r="J30" s="37" t="e">
        <f t="shared" si="3"/>
        <v>#N/A</v>
      </c>
      <c r="K30" s="37" t="e">
        <f t="shared" si="4"/>
        <v>#N/A</v>
      </c>
      <c r="L30" s="37">
        <f t="shared" ca="1" si="5"/>
        <v>4</v>
      </c>
    </row>
    <row r="31" spans="1:12" x14ac:dyDescent="0.3">
      <c r="A31" s="37">
        <v>22</v>
      </c>
      <c r="B31" s="35">
        <v>559005.84703077644</v>
      </c>
      <c r="C31" s="33">
        <v>0.36171387351997408</v>
      </c>
      <c r="D31" s="36">
        <v>2.6102437130117231</v>
      </c>
      <c r="F31" s="37">
        <f t="shared" si="6"/>
        <v>1.5</v>
      </c>
      <c r="G31" s="45">
        <f t="shared" si="0"/>
        <v>792790.47756656166</v>
      </c>
      <c r="H31" s="37">
        <f t="shared" si="1"/>
        <v>3.6284893237102456E-7</v>
      </c>
      <c r="I31" s="37" t="e">
        <f t="shared" si="2"/>
        <v>#N/A</v>
      </c>
      <c r="J31" s="37" t="e">
        <f t="shared" si="3"/>
        <v>#N/A</v>
      </c>
      <c r="K31" s="37" t="e">
        <f t="shared" si="4"/>
        <v>#N/A</v>
      </c>
      <c r="L31" s="37">
        <f t="shared" ca="1" si="5"/>
        <v>2</v>
      </c>
    </row>
    <row r="32" spans="1:12" x14ac:dyDescent="0.3">
      <c r="A32" s="37">
        <v>23</v>
      </c>
      <c r="B32" s="35">
        <v>419591.82281688985</v>
      </c>
      <c r="C32" s="33">
        <v>0.27888330782028814</v>
      </c>
      <c r="D32" s="36">
        <v>3.1948925037240921</v>
      </c>
      <c r="F32" s="37">
        <f t="shared" si="6"/>
        <v>1.75</v>
      </c>
      <c r="G32" s="45">
        <f t="shared" si="0"/>
        <v>882027.0606946717</v>
      </c>
      <c r="H32" s="37">
        <f t="shared" si="1"/>
        <v>2.4170949794954007E-7</v>
      </c>
      <c r="I32" s="37" t="e">
        <f t="shared" si="2"/>
        <v>#N/A</v>
      </c>
      <c r="J32" s="37" t="e">
        <f t="shared" si="3"/>
        <v>#N/A</v>
      </c>
      <c r="K32" s="37" t="e">
        <f t="shared" si="4"/>
        <v>#N/A</v>
      </c>
      <c r="L32" s="37">
        <f t="shared" ca="1" si="5"/>
        <v>1</v>
      </c>
    </row>
    <row r="33" spans="1:12" x14ac:dyDescent="0.3">
      <c r="A33" s="37">
        <v>24</v>
      </c>
      <c r="B33" s="35">
        <v>-326872.79262431554</v>
      </c>
      <c r="C33" s="33">
        <v>0</v>
      </c>
      <c r="D33" s="36"/>
      <c r="F33" s="37">
        <f t="shared" si="6"/>
        <v>2</v>
      </c>
      <c r="G33" s="45">
        <f t="shared" si="0"/>
        <v>971263.64382278174</v>
      </c>
      <c r="H33" s="37">
        <f t="shared" si="1"/>
        <v>1.5125793878637589E-7</v>
      </c>
      <c r="I33" s="37" t="e">
        <f t="shared" si="2"/>
        <v>#N/A</v>
      </c>
      <c r="J33" s="37" t="e">
        <f t="shared" si="3"/>
        <v>#N/A</v>
      </c>
      <c r="K33" s="37">
        <f t="shared" si="4"/>
        <v>1.1999999999999999E-6</v>
      </c>
      <c r="L33" s="37">
        <f t="shared" ca="1" si="5"/>
        <v>0</v>
      </c>
    </row>
    <row r="34" spans="1:12" x14ac:dyDescent="0.3">
      <c r="A34" s="37">
        <v>25</v>
      </c>
      <c r="B34" s="35">
        <v>242652.310289316</v>
      </c>
      <c r="C34" s="33">
        <v>0.2193501242686775</v>
      </c>
      <c r="D34" s="36">
        <v>3.8801215241556255</v>
      </c>
      <c r="F34" s="37">
        <f t="shared" si="6"/>
        <v>2.25</v>
      </c>
      <c r="G34" s="45">
        <f t="shared" si="0"/>
        <v>1060500.2269508918</v>
      </c>
      <c r="H34" s="37">
        <f t="shared" si="1"/>
        <v>8.8919955031506675E-8</v>
      </c>
      <c r="I34" s="37" t="e">
        <f t="shared" si="2"/>
        <v>#N/A</v>
      </c>
      <c r="J34" s="37" t="e">
        <f t="shared" si="3"/>
        <v>#N/A</v>
      </c>
      <c r="K34" s="37" t="e">
        <f t="shared" si="4"/>
        <v>#N/A</v>
      </c>
      <c r="L34" s="37">
        <f t="shared" ca="1" si="5"/>
        <v>1</v>
      </c>
    </row>
    <row r="35" spans="1:12" x14ac:dyDescent="0.3">
      <c r="A35" s="37">
        <v>26</v>
      </c>
      <c r="B35" s="35">
        <v>322766.32089725573</v>
      </c>
      <c r="C35" s="33">
        <v>0.25552460502305374</v>
      </c>
      <c r="D35" s="36">
        <v>3.5198733408837577</v>
      </c>
      <c r="F35" s="37">
        <f t="shared" si="6"/>
        <v>2.5</v>
      </c>
      <c r="G35" s="45">
        <f t="shared" si="0"/>
        <v>1149736.8100790018</v>
      </c>
      <c r="H35" s="37">
        <f t="shared" si="1"/>
        <v>4.9106263034535159E-8</v>
      </c>
      <c r="I35" s="37" t="e">
        <f t="shared" si="2"/>
        <v>#N/A</v>
      </c>
      <c r="J35" s="37" t="e">
        <f t="shared" si="3"/>
        <v>#N/A</v>
      </c>
      <c r="K35" s="37" t="e">
        <f t="shared" si="4"/>
        <v>#N/A</v>
      </c>
      <c r="L35" s="37">
        <f t="shared" ca="1" si="5"/>
        <v>0</v>
      </c>
    </row>
    <row r="36" spans="1:12" x14ac:dyDescent="0.3">
      <c r="A36" s="37">
        <v>27</v>
      </c>
      <c r="B36" s="35">
        <v>-208694.26136341953</v>
      </c>
      <c r="C36" s="33">
        <v>0</v>
      </c>
      <c r="D36" s="36">
        <v>9.3419629126857782</v>
      </c>
      <c r="F36" s="37">
        <f t="shared" si="6"/>
        <v>2.75</v>
      </c>
      <c r="G36" s="45">
        <f t="shared" si="0"/>
        <v>1238973.3932071119</v>
      </c>
      <c r="H36" s="37">
        <f t="shared" si="1"/>
        <v>2.5475993653119091E-8</v>
      </c>
      <c r="I36" s="37" t="e">
        <f t="shared" si="2"/>
        <v>#N/A</v>
      </c>
      <c r="J36" s="37" t="e">
        <f t="shared" si="3"/>
        <v>#N/A</v>
      </c>
      <c r="K36" s="37" t="e">
        <f t="shared" si="4"/>
        <v>#N/A</v>
      </c>
      <c r="L36" s="37">
        <f t="shared" ca="1" si="5"/>
        <v>0</v>
      </c>
    </row>
    <row r="37" spans="1:12" x14ac:dyDescent="0.3">
      <c r="A37" s="37">
        <v>28</v>
      </c>
      <c r="B37" s="35">
        <v>910539.5721211182</v>
      </c>
      <c r="C37" s="33">
        <v>0.41880370397735711</v>
      </c>
      <c r="D37" s="36">
        <v>2.3018953339663453</v>
      </c>
      <c r="F37" s="37">
        <f t="shared" si="6"/>
        <v>3</v>
      </c>
      <c r="G37" s="45">
        <f t="shared" si="0"/>
        <v>1328209.9763352221</v>
      </c>
      <c r="H37" s="37">
        <f t="shared" si="1"/>
        <v>1.2416007697133408E-8</v>
      </c>
      <c r="I37" s="37" t="e">
        <f t="shared" si="2"/>
        <v>#N/A</v>
      </c>
      <c r="J37" s="37" t="e">
        <f t="shared" si="3"/>
        <v>#N/A</v>
      </c>
      <c r="K37" s="37">
        <f t="shared" si="4"/>
        <v>1.1999999999999999E-6</v>
      </c>
      <c r="L37" s="37">
        <f t="shared" ca="1" si="5"/>
        <v>0</v>
      </c>
    </row>
    <row r="38" spans="1:12" x14ac:dyDescent="0.3">
      <c r="A38" s="37">
        <v>29</v>
      </c>
      <c r="B38" s="35">
        <v>326408.22245761659</v>
      </c>
      <c r="C38" s="33">
        <v>0.24243594618115183</v>
      </c>
      <c r="D38" s="36">
        <v>3.5574943928038731</v>
      </c>
      <c r="F38" s="37">
        <f t="shared" si="6"/>
        <v>3.25</v>
      </c>
      <c r="G38" s="45">
        <f t="shared" si="0"/>
        <v>1417446.5594633322</v>
      </c>
      <c r="H38" s="37">
        <f t="shared" si="1"/>
        <v>5.6844625437608265E-9</v>
      </c>
      <c r="I38" s="37" t="e">
        <f t="shared" si="2"/>
        <v>#N/A</v>
      </c>
      <c r="J38" s="37" t="e">
        <f t="shared" si="3"/>
        <v>#N/A</v>
      </c>
      <c r="K38" s="37" t="e">
        <f t="shared" si="4"/>
        <v>#N/A</v>
      </c>
      <c r="L38" s="37">
        <f t="shared" ca="1" si="5"/>
        <v>0</v>
      </c>
    </row>
    <row r="39" spans="1:12" x14ac:dyDescent="0.3">
      <c r="A39" s="37">
        <v>30</v>
      </c>
      <c r="B39" s="35">
        <v>704241.70991541061</v>
      </c>
      <c r="C39" s="33">
        <v>0.3649288004643898</v>
      </c>
      <c r="D39" s="36">
        <v>2.6161274879442789</v>
      </c>
      <c r="F39" s="37">
        <f t="shared" si="6"/>
        <v>3.5</v>
      </c>
      <c r="G39" s="45">
        <f t="shared" si="0"/>
        <v>1506683.1425914422</v>
      </c>
      <c r="H39" s="37">
        <f t="shared" si="1"/>
        <v>2.4448568749907112E-9</v>
      </c>
      <c r="I39" s="37" t="e">
        <f t="shared" si="2"/>
        <v>#N/A</v>
      </c>
      <c r="J39" s="37" t="e">
        <f t="shared" si="3"/>
        <v>#N/A</v>
      </c>
      <c r="K39" s="37" t="e">
        <f t="shared" si="4"/>
        <v>#N/A</v>
      </c>
      <c r="L39" s="37">
        <f t="shared" ca="1" si="5"/>
        <v>0</v>
      </c>
    </row>
    <row r="40" spans="1:12" x14ac:dyDescent="0.3">
      <c r="A40" s="37">
        <v>31</v>
      </c>
      <c r="B40" s="35">
        <v>-255534.7422152622</v>
      </c>
      <c r="C40" s="33">
        <v>0</v>
      </c>
      <c r="D40" s="36"/>
      <c r="F40" s="37">
        <f t="shared" si="6"/>
        <v>3.75</v>
      </c>
      <c r="G40" s="45">
        <f t="shared" si="0"/>
        <v>1595919.7257195523</v>
      </c>
      <c r="H40" s="37">
        <f t="shared" si="1"/>
        <v>9.8781147262566923E-10</v>
      </c>
      <c r="I40" s="37" t="e">
        <f t="shared" si="2"/>
        <v>#N/A</v>
      </c>
      <c r="J40" s="37" t="e">
        <f t="shared" si="3"/>
        <v>#N/A</v>
      </c>
      <c r="K40" s="37" t="e">
        <f t="shared" si="4"/>
        <v>#N/A</v>
      </c>
      <c r="L40" s="37">
        <f t="shared" ca="1" si="5"/>
        <v>0</v>
      </c>
    </row>
    <row r="41" spans="1:12" x14ac:dyDescent="0.3">
      <c r="A41" s="37">
        <v>32</v>
      </c>
      <c r="B41" s="35">
        <v>544680.73094335024</v>
      </c>
      <c r="C41" s="33">
        <v>0.32963129686983339</v>
      </c>
      <c r="D41" s="36">
        <v>2.834000861676552</v>
      </c>
      <c r="F41" s="37">
        <f t="shared" si="6"/>
        <v>4</v>
      </c>
      <c r="G41" s="45">
        <f t="shared" si="0"/>
        <v>1685156.3088476623</v>
      </c>
      <c r="H41" s="37">
        <f t="shared" si="1"/>
        <v>3.7493094500479598E-10</v>
      </c>
      <c r="I41" s="37" t="e">
        <f t="shared" si="2"/>
        <v>#N/A</v>
      </c>
      <c r="J41" s="37" t="e">
        <f t="shared" si="3"/>
        <v>#N/A</v>
      </c>
      <c r="K41" s="37" t="e">
        <f t="shared" si="4"/>
        <v>#N/A</v>
      </c>
      <c r="L41" s="37">
        <f t="shared" ca="1" si="5"/>
        <v>0</v>
      </c>
    </row>
    <row r="42" spans="1:12" x14ac:dyDescent="0.3">
      <c r="A42" s="37">
        <v>33</v>
      </c>
      <c r="B42" s="35">
        <v>-73.614637321908958</v>
      </c>
      <c r="C42" s="33">
        <v>0.12882350684876376</v>
      </c>
      <c r="D42" s="36">
        <v>5.4601964093527489</v>
      </c>
      <c r="F42" s="37"/>
    </row>
    <row r="43" spans="1:12" x14ac:dyDescent="0.3">
      <c r="A43" s="37">
        <v>34</v>
      </c>
      <c r="B43" s="35">
        <v>-101769.4033378918</v>
      </c>
      <c r="C43" s="33">
        <v>0</v>
      </c>
      <c r="D43" s="36">
        <v>7.6993681318076073</v>
      </c>
      <c r="F43" s="37"/>
    </row>
    <row r="44" spans="1:12" x14ac:dyDescent="0.3">
      <c r="A44" s="37">
        <v>35</v>
      </c>
      <c r="B44" s="35">
        <v>413098.96649008011</v>
      </c>
      <c r="C44" s="33">
        <v>0.30377599914134623</v>
      </c>
      <c r="D44" s="36">
        <v>3.0258655999597988</v>
      </c>
      <c r="F44" s="37"/>
    </row>
    <row r="45" spans="1:12" x14ac:dyDescent="0.3">
      <c r="A45" s="37">
        <v>36</v>
      </c>
      <c r="B45" s="35">
        <v>1136344.4363170068</v>
      </c>
      <c r="C45" s="33">
        <v>0.55567803633012836</v>
      </c>
      <c r="D45" s="36">
        <v>1.7261737987110017</v>
      </c>
    </row>
    <row r="46" spans="1:12" x14ac:dyDescent="0.3">
      <c r="A46" s="37">
        <v>37</v>
      </c>
      <c r="B46" s="35">
        <v>1981.3439623161685</v>
      </c>
      <c r="C46" s="33">
        <v>0.13272789871903901</v>
      </c>
      <c r="D46" s="36">
        <v>5.398899936844515</v>
      </c>
    </row>
    <row r="47" spans="1:12" x14ac:dyDescent="0.3">
      <c r="A47" s="37">
        <v>38</v>
      </c>
      <c r="B47" s="35">
        <v>161843.47590016341</v>
      </c>
      <c r="C47" s="33">
        <v>0.18251204601871551</v>
      </c>
      <c r="D47" s="36">
        <v>4.3663049419260505</v>
      </c>
    </row>
    <row r="48" spans="1:12" x14ac:dyDescent="0.3">
      <c r="A48" s="37">
        <v>39</v>
      </c>
      <c r="B48" s="35">
        <v>176077.05427183711</v>
      </c>
      <c r="C48" s="33">
        <v>0.21221744699338463</v>
      </c>
      <c r="D48" s="36">
        <v>3.9465627695200221</v>
      </c>
    </row>
    <row r="49" spans="1:4" x14ac:dyDescent="0.3">
      <c r="A49" s="37">
        <v>40</v>
      </c>
      <c r="B49" s="35">
        <v>-185380.92051812581</v>
      </c>
      <c r="C49" s="33">
        <v>0</v>
      </c>
      <c r="D49" s="36">
        <v>8.4489473366973264</v>
      </c>
    </row>
    <row r="50" spans="1:4" x14ac:dyDescent="0.3">
      <c r="A50" s="37">
        <v>41</v>
      </c>
      <c r="B50" s="35">
        <v>366755.59696267324</v>
      </c>
      <c r="C50" s="33">
        <v>0.26282806144437365</v>
      </c>
      <c r="D50" s="36">
        <v>3.4347187136089712</v>
      </c>
    </row>
    <row r="51" spans="1:4" x14ac:dyDescent="0.3">
      <c r="A51" s="37">
        <v>42</v>
      </c>
      <c r="B51" s="35">
        <v>-122343.68859600101</v>
      </c>
      <c r="C51" s="33">
        <v>0</v>
      </c>
      <c r="D51" s="36">
        <v>7.5761889439039054</v>
      </c>
    </row>
    <row r="52" spans="1:4" x14ac:dyDescent="0.3">
      <c r="A52" s="37">
        <v>43</v>
      </c>
      <c r="B52" s="35">
        <v>525039.05546599708</v>
      </c>
      <c r="C52" s="33">
        <v>0.3606736919414506</v>
      </c>
      <c r="D52" s="36">
        <v>2.5924870741262653</v>
      </c>
    </row>
    <row r="53" spans="1:4" x14ac:dyDescent="0.3">
      <c r="A53" s="37">
        <v>44</v>
      </c>
      <c r="B53" s="35">
        <v>-238733.85262278764</v>
      </c>
      <c r="C53" s="33">
        <v>0</v>
      </c>
      <c r="D53" s="36"/>
    </row>
    <row r="54" spans="1:4" x14ac:dyDescent="0.3">
      <c r="A54" s="37">
        <v>45</v>
      </c>
      <c r="B54" s="35">
        <v>216101.76817140775</v>
      </c>
      <c r="C54" s="33">
        <v>0.22253447626382927</v>
      </c>
      <c r="D54" s="36">
        <v>3.8598113584944214</v>
      </c>
    </row>
    <row r="55" spans="1:4" x14ac:dyDescent="0.3">
      <c r="A55" s="37">
        <v>46</v>
      </c>
      <c r="B55" s="35">
        <v>-68047.953592839243</v>
      </c>
      <c r="C55" s="33">
        <v>0</v>
      </c>
      <c r="D55" s="36">
        <v>6.298700880839494</v>
      </c>
    </row>
    <row r="56" spans="1:4" x14ac:dyDescent="0.3">
      <c r="A56" s="37">
        <v>47</v>
      </c>
      <c r="B56" s="35">
        <v>528883.9432192141</v>
      </c>
      <c r="C56" s="33">
        <v>0.34325819995386042</v>
      </c>
      <c r="D56" s="36">
        <v>2.7168801425707083</v>
      </c>
    </row>
    <row r="57" spans="1:4" x14ac:dyDescent="0.3">
      <c r="A57" s="37">
        <v>48</v>
      </c>
      <c r="B57" s="35">
        <v>-172140.19843527739</v>
      </c>
      <c r="C57" s="33">
        <v>0</v>
      </c>
      <c r="D57" s="36">
        <v>9.0871513701969278</v>
      </c>
    </row>
    <row r="58" spans="1:4" x14ac:dyDescent="0.3">
      <c r="A58" s="37">
        <v>49</v>
      </c>
      <c r="B58" s="35">
        <v>724214.90651968285</v>
      </c>
      <c r="C58" s="33">
        <v>0.36512694583349892</v>
      </c>
      <c r="D58" s="36">
        <v>2.6188266650877168</v>
      </c>
    </row>
    <row r="59" spans="1:4" x14ac:dyDescent="0.3">
      <c r="A59" s="37">
        <v>50</v>
      </c>
      <c r="B59" s="35">
        <v>133461.16299373237</v>
      </c>
      <c r="C59" s="33">
        <v>0.19837040512916437</v>
      </c>
      <c r="D59" s="36">
        <v>4.167634653055976</v>
      </c>
    </row>
    <row r="60" spans="1:4" x14ac:dyDescent="0.3">
      <c r="A60" s="37"/>
      <c r="B60" s="35"/>
      <c r="C60" s="33"/>
      <c r="D60" s="36"/>
    </row>
    <row r="61" spans="1:4" x14ac:dyDescent="0.3">
      <c r="A61" s="37"/>
      <c r="B61" s="35"/>
      <c r="C61" s="33"/>
      <c r="D61" s="36"/>
    </row>
    <row r="62" spans="1:4" x14ac:dyDescent="0.3">
      <c r="A62" s="37"/>
      <c r="B62" s="35"/>
      <c r="C62" s="33"/>
      <c r="D62" s="36"/>
    </row>
    <row r="63" spans="1:4" x14ac:dyDescent="0.3">
      <c r="A63" s="37"/>
      <c r="B63" s="35"/>
      <c r="C63" s="33"/>
      <c r="D63" s="36"/>
    </row>
    <row r="64" spans="1:4" x14ac:dyDescent="0.3">
      <c r="A64" s="37"/>
      <c r="B64" s="35"/>
      <c r="C64" s="33"/>
      <c r="D64" s="36"/>
    </row>
    <row r="65" spans="1:4" x14ac:dyDescent="0.3">
      <c r="A65" s="37"/>
      <c r="B65" s="35"/>
      <c r="C65" s="33"/>
      <c r="D65" s="36"/>
    </row>
    <row r="66" spans="1:4" x14ac:dyDescent="0.3">
      <c r="A66" s="37"/>
      <c r="B66" s="35"/>
      <c r="C66" s="33"/>
      <c r="D66" s="36"/>
    </row>
    <row r="67" spans="1:4" x14ac:dyDescent="0.3">
      <c r="A67" s="37"/>
      <c r="B67" s="35"/>
      <c r="C67" s="33"/>
      <c r="D67" s="36"/>
    </row>
    <row r="68" spans="1:4" x14ac:dyDescent="0.3">
      <c r="A68" s="37"/>
      <c r="B68" s="35"/>
      <c r="C68" s="33"/>
      <c r="D68" s="36"/>
    </row>
    <row r="69" spans="1:4" x14ac:dyDescent="0.3">
      <c r="A69" s="37"/>
      <c r="B69" s="35"/>
      <c r="C69" s="33"/>
      <c r="D69" s="36"/>
    </row>
    <row r="70" spans="1:4" x14ac:dyDescent="0.3">
      <c r="A70" s="37"/>
      <c r="B70" s="35"/>
      <c r="C70" s="33"/>
      <c r="D70" s="36"/>
    </row>
    <row r="71" spans="1:4" x14ac:dyDescent="0.3">
      <c r="A71" s="37"/>
      <c r="B71" s="35"/>
      <c r="C71" s="33"/>
      <c r="D71" s="36"/>
    </row>
    <row r="72" spans="1:4" x14ac:dyDescent="0.3">
      <c r="A72" s="37"/>
      <c r="B72" s="35"/>
      <c r="C72" s="33"/>
      <c r="D72" s="36"/>
    </row>
    <row r="73" spans="1:4" x14ac:dyDescent="0.3">
      <c r="A73" s="37"/>
      <c r="B73" s="35"/>
      <c r="C73" s="33"/>
      <c r="D73" s="36"/>
    </row>
    <row r="74" spans="1:4" x14ac:dyDescent="0.3">
      <c r="A74" s="37"/>
      <c r="B74" s="35"/>
      <c r="C74" s="33"/>
      <c r="D74" s="36"/>
    </row>
    <row r="75" spans="1:4" x14ac:dyDescent="0.3">
      <c r="A75" s="37"/>
      <c r="B75" s="35"/>
      <c r="C75" s="33"/>
      <c r="D75" s="36"/>
    </row>
    <row r="76" spans="1:4" x14ac:dyDescent="0.3">
      <c r="A76" s="37"/>
      <c r="B76" s="35"/>
      <c r="C76" s="33"/>
      <c r="D76" s="36"/>
    </row>
    <row r="77" spans="1:4" x14ac:dyDescent="0.3">
      <c r="A77" s="37"/>
      <c r="B77" s="35"/>
      <c r="C77" s="33"/>
      <c r="D77" s="36"/>
    </row>
    <row r="78" spans="1:4" x14ac:dyDescent="0.3">
      <c r="A78" s="37"/>
      <c r="B78" s="35"/>
      <c r="C78" s="33"/>
      <c r="D78" s="36"/>
    </row>
    <row r="79" spans="1:4" x14ac:dyDescent="0.3">
      <c r="A79" s="37"/>
      <c r="B79" s="35"/>
      <c r="C79" s="33"/>
      <c r="D79" s="36"/>
    </row>
    <row r="80" spans="1:4" x14ac:dyDescent="0.3">
      <c r="A80" s="37"/>
      <c r="B80" s="35"/>
      <c r="C80" s="33"/>
      <c r="D80" s="36"/>
    </row>
    <row r="81" spans="1:4" x14ac:dyDescent="0.3">
      <c r="A81" s="37"/>
      <c r="B81" s="35"/>
      <c r="C81" s="33"/>
      <c r="D81" s="36"/>
    </row>
    <row r="82" spans="1:4" x14ac:dyDescent="0.3">
      <c r="A82" s="37"/>
      <c r="B82" s="35"/>
      <c r="C82" s="33"/>
      <c r="D82" s="36"/>
    </row>
    <row r="83" spans="1:4" x14ac:dyDescent="0.3">
      <c r="A83" s="37"/>
      <c r="B83" s="35"/>
      <c r="C83" s="33"/>
      <c r="D83" s="36"/>
    </row>
    <row r="84" spans="1:4" x14ac:dyDescent="0.3">
      <c r="A84" s="37"/>
      <c r="B84" s="35"/>
      <c r="C84" s="33"/>
      <c r="D84" s="36"/>
    </row>
    <row r="85" spans="1:4" x14ac:dyDescent="0.3">
      <c r="A85" s="37"/>
      <c r="B85" s="35"/>
      <c r="C85" s="33"/>
      <c r="D85" s="36"/>
    </row>
    <row r="86" spans="1:4" x14ac:dyDescent="0.3">
      <c r="A86" s="37"/>
      <c r="B86" s="35"/>
      <c r="C86" s="33"/>
      <c r="D86" s="36"/>
    </row>
    <row r="87" spans="1:4" x14ac:dyDescent="0.3">
      <c r="A87" s="37"/>
      <c r="B87" s="35"/>
      <c r="C87" s="33"/>
      <c r="D87" s="36"/>
    </row>
    <row r="88" spans="1:4" x14ac:dyDescent="0.3">
      <c r="A88" s="37"/>
      <c r="B88" s="35"/>
      <c r="C88" s="33"/>
      <c r="D88" s="36"/>
    </row>
    <row r="89" spans="1:4" x14ac:dyDescent="0.3">
      <c r="A89" s="37"/>
      <c r="B89" s="35"/>
      <c r="C89" s="33"/>
      <c r="D89" s="36"/>
    </row>
    <row r="90" spans="1:4" x14ac:dyDescent="0.3">
      <c r="A90" s="37"/>
      <c r="B90" s="35"/>
      <c r="C90" s="33"/>
      <c r="D90" s="36"/>
    </row>
    <row r="91" spans="1:4" x14ac:dyDescent="0.3">
      <c r="A91" s="37"/>
      <c r="B91" s="35"/>
      <c r="C91" s="33"/>
      <c r="D91" s="3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3C08-A5B7-4447-A1AE-DD524A8F4299}">
  <dimension ref="E5"/>
  <sheetViews>
    <sheetView workbookViewId="0">
      <selection activeCell="H24" sqref="H24"/>
    </sheetView>
  </sheetViews>
  <sheetFormatPr defaultRowHeight="14.4" x14ac:dyDescent="0.3"/>
  <sheetData>
    <row r="5" spans="5:5" x14ac:dyDescent="0.3">
      <c r="E5">
        <v>46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croll Bar 1">
              <controlPr defaultSize="0" autoPict="0">
                <anchor moveWithCells="1">
                  <from>
                    <xdr:col>6</xdr:col>
                    <xdr:colOff>144780</xdr:colOff>
                    <xdr:row>3</xdr:row>
                    <xdr:rowOff>83820</xdr:rowOff>
                  </from>
                  <to>
                    <xdr:col>13</xdr:col>
                    <xdr:colOff>114300</xdr:colOff>
                    <xdr:row>5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Averages</vt:lpstr>
      <vt:lpstr>Moving Averages</vt:lpstr>
      <vt:lpstr>Smoothing Averages</vt:lpstr>
      <vt:lpstr>Regression</vt:lpstr>
      <vt:lpstr>Dates</vt:lpstr>
      <vt:lpstr>Seasonalising</vt:lpstr>
      <vt:lpstr>Scenario Data</vt:lpstr>
      <vt:lpstr>Scroll bar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Edge</dc:creator>
  <cp:lastModifiedBy>John Tennent</cp:lastModifiedBy>
  <dcterms:created xsi:type="dcterms:W3CDTF">2018-01-16T18:15:07Z</dcterms:created>
  <dcterms:modified xsi:type="dcterms:W3CDTF">2024-10-17T12:20:55Z</dcterms:modified>
</cp:coreProperties>
</file>