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ebe\Documents\ICAEW\Blog 076 - Risk Bubble Charts\"/>
    </mc:Choice>
  </mc:AlternateContent>
  <xr:revisionPtr revIDLastSave="0" documentId="8_{146E1630-2575-434D-A39A-91CDE4B7DD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Timing" sheetId="6" r:id="rId5"/>
    <sheet name="Risk Bubble Chart" sheetId="10" r:id="rId6"/>
    <sheet name="Error Checks" sheetId="5" r:id="rId7"/>
  </sheets>
  <definedNames>
    <definedName name="Client_Name">'Model Parameters'!$G$12</definedName>
    <definedName name="Consequence_No">Chart_Data[Consequence No.]</definedName>
    <definedName name="Days_in_Year">'Model Parameters'!$G$19</definedName>
    <definedName name="Example_Reporting_Month">Timing!$H$19</definedName>
    <definedName name="HL_1">Cover!$A$3</definedName>
    <definedName name="HL_3">'Style Guide'!$A$3</definedName>
    <definedName name="HL_4">'Model Parameters'!$A$3</definedName>
    <definedName name="HL_5">Timing!$A$3</definedName>
    <definedName name="HL_6">'Risk Bubble Chart'!$A$3</definedName>
    <definedName name="HL_7" localSheetId="5">'Risk Bubble Chart'!$A$3</definedName>
    <definedName name="HL_7">'Error Checks'!$A$3</definedName>
    <definedName name="HL_Model_Parameters">'Model Parameters'!$A$5</definedName>
    <definedName name="HL_Navigator">Navigator!$A$1</definedName>
    <definedName name="Likelihood_No">Chart_Data[Likelihood No.]</definedName>
    <definedName name="LU_Consequences">'Risk Bubble Chart'!$E$10:$I$10</definedName>
    <definedName name="LU_Likelihood">'Risk Bubble Chart'!$D$11:$D$15</definedName>
    <definedName name="Model_Name">'Model Parameters'!$G$11</definedName>
    <definedName name="Model_Start_Date">Timing!$H$15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Year">'Model Parameters'!$G$23</definedName>
    <definedName name="Occurences">Chart_Data[Occurrences]</definedName>
    <definedName name="Overall_Error_Check">'Error Checks'!$I$17</definedName>
    <definedName name="Periodicity">Timing!$H$17</definedName>
    <definedName name="Quarters_in_Year">'Model Parameters'!$G$24</definedName>
    <definedName name="Reporting_Month_Factor">Timing!$H$21</definedName>
    <definedName name="Risk_ID">Chart_Data[Risk Id]</definedName>
    <definedName name="Risk_Tbl">'Risk Bubble Chart'!$K$72:$P$77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7" i="10" l="1" a="1"/>
  <c r="L77" i="10" s="1"/>
  <c r="K72" i="10" a="1"/>
  <c r="K72" i="10" s="1"/>
  <c r="D42" i="10"/>
  <c r="F42" i="10" l="1"/>
  <c r="E42" i="10"/>
  <c r="P73" i="10"/>
  <c r="N75" i="10"/>
  <c r="O75" i="10"/>
  <c r="P76" i="10"/>
  <c r="M73" i="10"/>
  <c r="M76" i="10"/>
  <c r="N74" i="10"/>
  <c r="O74" i="10"/>
  <c r="P74" i="10"/>
  <c r="P75" i="10"/>
  <c r="N73" i="10"/>
  <c r="N76" i="10"/>
  <c r="M75" i="10"/>
  <c r="O73" i="10"/>
  <c r="O76" i="10"/>
  <c r="M74" i="10"/>
  <c r="L75" i="10"/>
  <c r="L74" i="10"/>
  <c r="L76" i="10"/>
  <c r="L73" i="10"/>
  <c r="N72" i="10"/>
  <c r="L72" i="10"/>
  <c r="M72" i="10"/>
  <c r="P72" i="10"/>
  <c r="O72" i="10"/>
  <c r="D43" i="10"/>
  <c r="B6" i="10"/>
  <c r="A1" i="10"/>
  <c r="C6" i="10" s="1"/>
  <c r="F43" i="10" l="1"/>
  <c r="E43" i="10"/>
  <c r="H42" i="10" a="1"/>
  <c r="H42" i="10" s="1"/>
  <c r="G42" i="10"/>
  <c r="D44" i="10"/>
  <c r="F38" i="10"/>
  <c r="J9" i="6"/>
  <c r="K9" i="6" s="1"/>
  <c r="L9" i="6" s="1"/>
  <c r="M9" i="6" s="1"/>
  <c r="H21" i="6"/>
  <c r="H15" i="6"/>
  <c r="I19" i="6" s="1"/>
  <c r="F44" i="10" l="1"/>
  <c r="E44" i="10"/>
  <c r="H43" i="10" a="1"/>
  <c r="H43" i="10" s="1"/>
  <c r="G43" i="10"/>
  <c r="D45" i="10"/>
  <c r="N9" i="6"/>
  <c r="J6" i="6"/>
  <c r="J7" i="6" s="1"/>
  <c r="E45" i="10" l="1"/>
  <c r="F45" i="10"/>
  <c r="H44" i="10" a="1"/>
  <c r="H44" i="10" s="1"/>
  <c r="G44" i="10"/>
  <c r="D46" i="10"/>
  <c r="J5" i="6"/>
  <c r="K6" i="6"/>
  <c r="K7" i="6" s="1"/>
  <c r="F46" i="10" l="1"/>
  <c r="E46" i="10"/>
  <c r="H45" i="10" a="1"/>
  <c r="H45" i="10" s="1"/>
  <c r="G45" i="10"/>
  <c r="D47" i="10"/>
  <c r="K5" i="6"/>
  <c r="L6" i="6"/>
  <c r="L7" i="6" s="1"/>
  <c r="F47" i="10" l="1"/>
  <c r="E47" i="10"/>
  <c r="H46" i="10" a="1"/>
  <c r="H46" i="10" s="1"/>
  <c r="G46" i="10"/>
  <c r="D48" i="10"/>
  <c r="L5" i="6"/>
  <c r="M6" i="6"/>
  <c r="M7" i="6" s="1"/>
  <c r="F48" i="10" l="1"/>
  <c r="E48" i="10"/>
  <c r="H47" i="10" a="1"/>
  <c r="H47" i="10" s="1"/>
  <c r="G47" i="10"/>
  <c r="D49" i="10"/>
  <c r="M5" i="6"/>
  <c r="N6" i="6"/>
  <c r="N7" i="6" s="1"/>
  <c r="N5" i="6" s="1"/>
  <c r="E49" i="10" l="1"/>
  <c r="F49" i="10"/>
  <c r="H48" i="10" a="1"/>
  <c r="H48" i="10" s="1"/>
  <c r="G48" i="10"/>
  <c r="D50" i="10"/>
  <c r="B11" i="6"/>
  <c r="A1" i="6"/>
  <c r="E50" i="10" l="1"/>
  <c r="F50" i="10"/>
  <c r="G49" i="10"/>
  <c r="H49" i="10" a="1"/>
  <c r="H49" i="10" s="1"/>
  <c r="D51" i="10"/>
  <c r="A1" i="5"/>
  <c r="E51" i="10" l="1"/>
  <c r="F51" i="10"/>
  <c r="G50" i="10"/>
  <c r="H50" i="10" a="1"/>
  <c r="H50" i="10" s="1"/>
  <c r="D52" i="10"/>
  <c r="I37" i="4"/>
  <c r="E52" i="10" l="1"/>
  <c r="F52" i="10"/>
  <c r="H51" i="10" a="1"/>
  <c r="H51" i="10" s="1"/>
  <c r="G51" i="10"/>
  <c r="D53" i="10"/>
  <c r="A1" i="2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0" s="1"/>
  <c r="B6" i="2"/>
  <c r="B15" i="2" s="1"/>
  <c r="E53" i="10" l="1"/>
  <c r="F53" i="10"/>
  <c r="G52" i="10"/>
  <c r="H52" i="10" a="1"/>
  <c r="H52" i="10" s="1"/>
  <c r="D54" i="10"/>
  <c r="F4" i="10"/>
  <c r="F4" i="5"/>
  <c r="I4" i="2"/>
  <c r="G4" i="3"/>
  <c r="F4" i="6"/>
  <c r="A2" i="6"/>
  <c r="I4" i="4"/>
  <c r="A2" i="2"/>
  <c r="A2" i="5"/>
  <c r="B56" i="4"/>
  <c r="A2" i="4"/>
  <c r="A2" i="3"/>
  <c r="C6" i="1"/>
  <c r="J8" i="6"/>
  <c r="K8" i="6"/>
  <c r="L8" i="6"/>
  <c r="M8" i="6"/>
  <c r="N8" i="6"/>
  <c r="F54" i="10" l="1"/>
  <c r="E54" i="10"/>
  <c r="H53" i="10" a="1"/>
  <c r="H53" i="10" s="1"/>
  <c r="G53" i="10"/>
  <c r="D55" i="10"/>
  <c r="F55" i="10" l="1"/>
  <c r="E55" i="10"/>
  <c r="H54" i="10" a="1"/>
  <c r="H54" i="10" s="1"/>
  <c r="G54" i="10"/>
  <c r="D56" i="10"/>
  <c r="F56" i="10" l="1"/>
  <c r="E56" i="10"/>
  <c r="H55" i="10" a="1"/>
  <c r="H55" i="10" s="1"/>
  <c r="G55" i="10"/>
  <c r="D57" i="10"/>
  <c r="E57" i="10" l="1"/>
  <c r="F57" i="10"/>
  <c r="H56" i="10" a="1"/>
  <c r="H56" i="10" s="1"/>
  <c r="G56" i="10"/>
  <c r="D58" i="10"/>
  <c r="F58" i="10" l="1"/>
  <c r="E58" i="10"/>
  <c r="H57" i="10" a="1"/>
  <c r="H57" i="10" s="1"/>
  <c r="G57" i="10"/>
  <c r="D59" i="10"/>
  <c r="F59" i="10" l="1"/>
  <c r="E59" i="10"/>
  <c r="H58" i="10" a="1"/>
  <c r="H58" i="10" s="1"/>
  <c r="G58" i="10"/>
  <c r="D60" i="10"/>
  <c r="E60" i="10" l="1"/>
  <c r="F60" i="10"/>
  <c r="H59" i="10" a="1"/>
  <c r="H59" i="10" s="1"/>
  <c r="G59" i="10"/>
  <c r="D61" i="10"/>
  <c r="G60" i="10" l="1"/>
  <c r="H60" i="10" a="1"/>
  <c r="H60" i="10" s="1"/>
  <c r="E61" i="10"/>
  <c r="F61" i="10"/>
  <c r="D62" i="10"/>
  <c r="H61" i="10" l="1" a="1"/>
  <c r="H61" i="10" s="1"/>
  <c r="G61" i="10"/>
  <c r="E62" i="10"/>
  <c r="F62" i="10"/>
  <c r="D63" i="10"/>
  <c r="F63" i="10" l="1"/>
  <c r="E63" i="10"/>
  <c r="H62" i="10" a="1"/>
  <c r="H62" i="10" s="1"/>
  <c r="G62" i="10"/>
  <c r="D64" i="10"/>
  <c r="F64" i="10" l="1"/>
  <c r="E64" i="10"/>
  <c r="H63" i="10" a="1"/>
  <c r="H63" i="10" s="1"/>
  <c r="G63" i="10"/>
  <c r="D65" i="10"/>
  <c r="E65" i="10" l="1"/>
  <c r="F65" i="10"/>
  <c r="G64" i="10"/>
  <c r="H64" i="10" a="1"/>
  <c r="H64" i="10" s="1"/>
  <c r="D66" i="10"/>
  <c r="F66" i="10" l="1"/>
  <c r="E66" i="10"/>
  <c r="H65" i="10" a="1"/>
  <c r="H65" i="10" s="1"/>
  <c r="G65" i="10"/>
  <c r="H66" i="10" l="1" a="1"/>
  <c r="H66" i="10" s="1"/>
  <c r="G66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<sst xmlns="http://schemas.openxmlformats.org/spreadsheetml/2006/main" count="178" uniqueCount="124">
  <si>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</si>
  <si>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</si>
  <si>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</si>
  <si>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</si>
  <si>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</si>
  <si>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</si>
  <si>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</si>
  <si>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</si>
  <si>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</si>
  <si>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</si>
  <si>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</si>
  <si>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</si>
  <si>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</si>
  <si>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</si>
  <si>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</si>
  <si>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</si>
  <si>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</si>
  <si>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</si>
  <si>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</si>
  <si>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General Cover Notes:</t>
  </si>
  <si>
    <t>Any queries, please e-mail: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</si>
  <si>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</si>
  <si>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</si>
  <si>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</si>
  <si>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</si>
  <si>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</si>
  <si>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</si>
  <si>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</si>
  <si>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</si>
  <si>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</si>
  <si>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</si>
  <si>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</si>
  <si>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</si>
  <si>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</si>
  <si>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</si>
  <si>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</si>
  <si>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</si>
  <si>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</si>
  <si>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</si>
  <si>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</si>
  <si>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</si>
  <si>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</si>
  <si>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</si>
  <si>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</si>
  <si>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</si>
  <si>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</si>
  <si>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</si>
  <si>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</si>
  <si>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</si>
  <si>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</si>
  <si>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</si>
  <si>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</si>
  <si>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</si>
  <si>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</si>
  <si>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</si>
  <si>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</si>
  <si>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</si>
  <si>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</si>
  <si>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</si>
  <si>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</si>
  <si>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</si>
  <si>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</si>
  <si>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</si>
  <si>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</si>
  <si>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</si>
  <si>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</si>
  <si>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</si>
  <si>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Example</t>
  </si>
  <si>
    <t>A$</t>
  </si>
  <si>
    <t>Timing</t>
  </si>
  <si>
    <t>Start Date</t>
  </si>
  <si>
    <t>End Date</t>
  </si>
  <si>
    <t>Counter</t>
  </si>
  <si>
    <t>Number of Days</t>
  </si>
  <si>
    <t>Timing Assumptions</t>
  </si>
  <si>
    <t>Data (do not change once modelling has commenced)</t>
  </si>
  <si>
    <t>Model Start Date</t>
  </si>
  <si>
    <t>Number of Months in a Full Period</t>
  </si>
  <si>
    <t>Example Reporting Month</t>
  </si>
  <si>
    <t>Reporting Month Factor</t>
  </si>
  <si>
    <t>SumProduct Pty Limited</t>
  </si>
  <si>
    <t>Primary Developer:  Sam Ngo</t>
  </si>
  <si>
    <t>Likelihood - Consequence Matrix</t>
  </si>
  <si>
    <t>Minimal</t>
  </si>
  <si>
    <t>Minor</t>
  </si>
  <si>
    <t>Moderate</t>
  </si>
  <si>
    <t>Major</t>
  </si>
  <si>
    <t>Catastrophic</t>
  </si>
  <si>
    <t>Rare</t>
  </si>
  <si>
    <t>Low</t>
  </si>
  <si>
    <t>Medium</t>
  </si>
  <si>
    <t>Unlikely</t>
  </si>
  <si>
    <t>High</t>
  </si>
  <si>
    <t>Possible</t>
  </si>
  <si>
    <t>Likely</t>
  </si>
  <si>
    <t>Extreme</t>
  </si>
  <si>
    <t>Almost Certain</t>
  </si>
  <si>
    <t>Risk Category</t>
  </si>
  <si>
    <t>Consequence</t>
  </si>
  <si>
    <t>Financial</t>
  </si>
  <si>
    <t>Operational</t>
  </si>
  <si>
    <t>Strategic</t>
  </si>
  <si>
    <t>Number of Likelihood Outcomes</t>
  </si>
  <si>
    <t>Number of Consequences</t>
  </si>
  <si>
    <t>Number of Combinations</t>
  </si>
  <si>
    <t>Case Number</t>
  </si>
  <si>
    <t>Consequence No.</t>
  </si>
  <si>
    <t>Likelihood No.</t>
  </si>
  <si>
    <t>Risk Id</t>
  </si>
  <si>
    <t>Culture</t>
  </si>
  <si>
    <t>People</t>
  </si>
  <si>
    <t>Governance</t>
  </si>
  <si>
    <t>Regulatory</t>
  </si>
  <si>
    <t>Manufacturing</t>
  </si>
  <si>
    <t>Research</t>
  </si>
  <si>
    <t>External</t>
  </si>
  <si>
    <t>Festival</t>
  </si>
  <si>
    <t>Chart Data</t>
  </si>
  <si>
    <t>Risk Bubble Chart</t>
  </si>
  <si>
    <t xml:space="preserve"> </t>
  </si>
  <si>
    <t>Likelihood</t>
  </si>
  <si>
    <t>Occurrences</t>
  </si>
  <si>
    <t>Simple example of a Risk Bubble Chart.</t>
  </si>
  <si>
    <t>liam.bastick@sumproduct.com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</si>
</sst>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164" formatCode="&quot;ý&quot;;&quot;ý&quot;;&quot;þ&quot;"/>
    <numFmt numFmtId="165" formatCode="#,##0&quot;.&quot;"/>
    <numFmt numFmtId="166" formatCode="0.E+00"/>
    <numFmt numFmtId="168" formatCode=";;;"/>
    <numFmt numFmtId="169" formatCode="_(#,##0_);[Red]\(#,##0\);_(\-_);"/>
    <numFmt numFmtId="170" formatCode="_(&quot;$&quot;#,##0.0_);\(&quot;$&quot;#,##0.0\);_(&quot;-&quot;_)"/>
    <numFmt numFmtId="171" formatCode="_(#,##0.0_);\(#,##0.0\);_(&quot;-&quot;_)"/>
    <numFmt numFmtId="172" formatCode="&quot;Row &quot;###0"/>
    <numFmt numFmtId="173" formatCode="#,##0."/>
    <numFmt numFmtId="174" formatCode="_(#,##0_);\(#,##0\);_(\-_)"/>
    <numFmt numFmtId="175" formatCode="_(#,##0.00_);\(#,##0.00\);_(\-_._0_0_)"/>
    <numFmt numFmtId="176" formatCode="&quot;$&quot;* _(#,##0.00_);&quot;$&quot;* \(#,##0.00\);&quot;$&quot;* _(\-_._0_0_)"/>
    <numFmt numFmtId="177" formatCode="&quot;$&quot;* _(#,##0_);&quot;$&quot;* \(#,##0\);&quot;$&quot;* _(\-_)"/>
    <numFmt numFmtId="178" formatCode="[$-C09]dd\ mmm\ yy;@"/>
    <numFmt numFmtId="179" formatCode="mmm\ yy"/>
    <numFmt numFmtId="180" formatCode="[$-C09]d\ mmm\ yy;@"/>
  </numFmts>
  <fonts count="34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sz val="9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175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0" fontId="23" fillId="0" borderId="0" applyFill="0" applyBorder="0" applyProtection="0">
      <alignment horizontal="center"/>
    </xf>
    <xf numFmtId="179" fontId="24" fillId="0" borderId="0" applyFill="0" applyBorder="0" applyProtection="0">
      <alignment horizontal="center"/>
    </xf>
    <xf numFmtId="168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9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9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70" fontId="8" fillId="0" borderId="0" applyFill="0" applyBorder="0">
      <alignment horizontal="right" vertical="center"/>
    </xf>
    <xf numFmtId="171" fontId="8" fillId="0" borderId="0" applyFill="0" applyBorder="0">
      <alignment horizontal="right" vertical="center"/>
    </xf>
    <xf numFmtId="172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3" fontId="16" fillId="3" borderId="1"/>
  </cellStyleXfs>
  <cellXfs count="71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 applyAlignment="1">
      <alignment horizontal="center"/>
    </xf>
    <xf numFmtId="166" fontId="26" fillId="0" borderId="3" xfId="13" applyNumberFormat="1" applyAlignmen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 applyBorder="1"/>
    <xf numFmtId="0" fontId="12" fillId="0" borderId="0" xfId="0" applyFont="1" applyAlignment="1">
      <alignment horizontal="left"/>
    </xf>
    <xf numFmtId="0" fontId="15" fillId="0" borderId="0" xfId="9" applyBorder="1"/>
    <xf numFmtId="0" fontId="0" fillId="0" borderId="0" xfId="0" applyAlignment="1">
      <alignment horizontal="left"/>
    </xf>
    <xf numFmtId="0" fontId="19" fillId="0" borderId="0" xfId="6" applyBorder="1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8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2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74" fontId="0" fillId="0" borderId="0" xfId="2" applyFont="1"/>
    <xf numFmtId="169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80" fontId="23" fillId="0" borderId="0" xfId="16">
      <alignment horizontal="center"/>
    </xf>
    <xf numFmtId="179" fontId="24" fillId="0" borderId="0" xfId="17">
      <alignment horizontal="center"/>
    </xf>
    <xf numFmtId="0" fontId="3" fillId="0" borderId="0" xfId="15"/>
    <xf numFmtId="164" fontId="16" fillId="3" borderId="1" xfId="10" applyNumberFormat="1" applyProtection="1">
      <protection locked="0"/>
    </xf>
    <xf numFmtId="165" fontId="16" fillId="3" borderId="1" xfId="10" applyNumberFormat="1"/>
    <xf numFmtId="0" fontId="14" fillId="0" borderId="0" xfId="7"/>
    <xf numFmtId="0" fontId="15" fillId="0" borderId="0" xfId="9"/>
    <xf numFmtId="173" fontId="16" fillId="3" borderId="1" xfId="41"/>
    <xf numFmtId="41" fontId="25" fillId="4" borderId="4" xfId="14" applyNumberFormat="1">
      <protection locked="0"/>
    </xf>
    <xf numFmtId="175" fontId="0" fillId="0" borderId="0" xfId="1" applyFont="1"/>
    <xf numFmtId="176" fontId="0" fillId="0" borderId="0" xfId="3" applyNumberFormat="1" applyFont="1"/>
    <xf numFmtId="177" fontId="0" fillId="0" borderId="0" xfId="4" applyNumberFormat="1" applyFont="1"/>
    <xf numFmtId="178" fontId="23" fillId="0" borderId="0" xfId="16" applyNumberFormat="1" applyBorder="1">
      <alignment horizontal="center"/>
    </xf>
    <xf numFmtId="179" fontId="24" fillId="0" borderId="0" xfId="17" applyBorder="1">
      <alignment horizontal="center"/>
    </xf>
    <xf numFmtId="178" fontId="26" fillId="0" borderId="3" xfId="13" applyNumberFormat="1">
      <alignment horizontal="center"/>
    </xf>
    <xf numFmtId="0" fontId="25" fillId="4" borderId="4" xfId="14" applyAlignment="1">
      <alignment horizontal="left"/>
      <protection locked="0"/>
    </xf>
    <xf numFmtId="180" fontId="13" fillId="11" borderId="0" xfId="33" applyNumberFormat="1">
      <alignment horizontal="center"/>
    </xf>
    <xf numFmtId="0" fontId="13" fillId="11" borderId="0" xfId="33" applyAlignment="1">
      <alignment horizontal="left"/>
    </xf>
    <xf numFmtId="0" fontId="0" fillId="0" borderId="2" xfId="0" applyBorder="1"/>
    <xf numFmtId="0" fontId="25" fillId="4" borderId="13" xfId="14" applyBorder="1" applyAlignment="1">
      <alignment horizontal="left"/>
      <protection locked="0"/>
    </xf>
    <xf numFmtId="0" fontId="25" fillId="4" borderId="13" xfId="14" applyBorder="1">
      <protection locked="0"/>
    </xf>
    <xf numFmtId="0" fontId="13" fillId="11" borderId="2" xfId="33" applyBorder="1" applyAlignment="1">
      <alignment vertical="center" textRotation="90"/>
    </xf>
    <xf numFmtId="0" fontId="33" fillId="11" borderId="2" xfId="33" applyFont="1" applyBorder="1">
      <alignment horizontal="center"/>
    </xf>
    <xf numFmtId="0" fontId="0" fillId="0" borderId="0" xfId="0" applyAlignment="1">
      <alignment horizontal="center"/>
    </xf>
    <xf numFmtId="0" fontId="13" fillId="11" borderId="14" xfId="33" applyBorder="1">
      <alignment horizontal="center"/>
    </xf>
    <xf numFmtId="0" fontId="13" fillId="11" borderId="15" xfId="33" applyBorder="1">
      <alignment horizontal="center"/>
    </xf>
    <xf numFmtId="0" fontId="13" fillId="11" borderId="16" xfId="33" applyBorder="1">
      <alignment horizontal="center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 customBuiltin="1"/>
    <cellStyle name="Comma [0]" xfId="2" builtinId="6" customBuiltin="1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23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theme="1" tint="0.499984740745262"/>
        </patternFill>
      </fill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color rgb="FF00B050"/>
      </font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22"/>
      <tableStyleElement type="firstRowStripe" dxfId="21"/>
      <tableStyleElement type="secondRow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281188483948676E-2"/>
          <c:y val="2.2608297828982618E-2"/>
          <c:w val="0.9382122057049096"/>
          <c:h val="0.9503319970021431"/>
        </c:manualLayout>
      </c:layout>
      <c:bubbleChart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BFA6049-8A99-463B-BCE0-F65329DD65D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CADF-43F0-8578-B812B1FEAFB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084715D-7B7B-42C4-A46C-9C81462B7DB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CADF-43F0-8578-B812B1FEAFB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FCDD423-B8CC-49D4-AFB6-0F433A720F3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CADF-43F0-8578-B812B1FEAFB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DDA1370-086F-4467-98C0-F7F75D1C068D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CADF-43F0-8578-B812B1FEAFB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4DB00B4-3083-42A2-9300-BD1C2E530B0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CADF-43F0-8578-B812B1FEAFB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70FFD61-3415-45B4-AF60-EED01EF4563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CADF-43F0-8578-B812B1FEAFB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CB13AD5-3E19-46AE-BF37-679D6EF9D8D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CADF-43F0-8578-B812B1FEAFB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829FFCF-ECC7-4380-BAFB-FA1CE119864B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CADF-43F0-8578-B812B1FEAFB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39BAF15-FE72-4291-B4F5-51D33E1AC06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CADF-43F0-8578-B812B1FEAFB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8CE87D3-010E-4212-9469-7A8FD6DF5C0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CADF-43F0-8578-B812B1FEAFB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5CF613E-1C3B-4FEE-AF0A-0778716917B4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C-CADF-43F0-8578-B812B1FEAFB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7ECE0A83-C0E6-48CF-9A3B-D9342A1DE76C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CADF-43F0-8578-B812B1FEAFB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47420C1-C9E7-421D-8A0F-0100086F4A47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E-CADF-43F0-8578-B812B1FEAFB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0FF23BB-F905-41B3-AA5E-FD9DC51BA09B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CADF-43F0-8578-B812B1FEAFB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EF10694D-6C80-4265-899D-A11BB08164B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0-CADF-43F0-8578-B812B1FEAFB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9E5281A8-8AB7-4093-9A41-23A3E619CE51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CADF-43F0-8578-B812B1FEAFB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70185CEA-8EAD-4020-B1A3-DB495246F4CE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2-CADF-43F0-8578-B812B1FEAFB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34CE9C7-E2C2-4C57-846F-4672EBA6464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CADF-43F0-8578-B812B1FEAFB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BD0180B9-28E0-4908-8C5F-E6A0151053A5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CADF-43F0-8578-B812B1FEAFB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7A1C18B3-3F07-4CBA-859D-3A98F7CD3478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5-CADF-43F0-8578-B812B1FEAFB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CF9A14A3-EB24-4937-ABEA-45511ABEB721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6-CADF-43F0-8578-B812B1FEAFB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ECFF828B-44EC-4336-AE54-7B60845559B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7-CADF-43F0-8578-B812B1FEAFB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4B005D2-3C3E-45A4-B360-2CB04A858DF3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CADF-43F0-8578-B812B1FEAFB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2DF1C3CA-2B86-401F-ABFD-9E918CEC6F9A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8-CADF-43F0-8578-B812B1FEAFB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7051D70A-2F4E-4111-8910-2E4B8BC6D332}" type="CELLRANGE">
                      <a:rPr lang="en-US"/>
                      <a:pPr/>
                      <a:t>[CELLRANGE]</a:t>
                    </a:fld>
                    <a:endParaRPr lang="en-GB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9-CADF-43F0-8578-B812B1FEAF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[0]!Consequence_No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1</c:v>
                </c:pt>
                <c:pt idx="11">
                  <c:v>2</c:v>
                </c:pt>
                <c:pt idx="12">
                  <c:v>3</c:v>
                </c:pt>
                <c:pt idx="13">
                  <c:v>4</c:v>
                </c:pt>
                <c:pt idx="14">
                  <c:v>5</c:v>
                </c:pt>
                <c:pt idx="15">
                  <c:v>1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  <c:pt idx="24">
                  <c:v>5</c:v>
                </c:pt>
              </c:numCache>
            </c:numRef>
          </c:xVal>
          <c:yVal>
            <c:numRef>
              <c:f>[0]!Likelihood_No</c:f>
              <c:numCache>
                <c:formatCode>General</c:formatCode>
                <c:ptCount val="2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</c:numCache>
            </c:numRef>
          </c:yVal>
          <c:bubbleSize>
            <c:numRef>
              <c:f>[0]!Occurences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</c:numCache>
            </c:numRef>
          </c:bubbleSize>
          <c:bubble3D val="1"/>
          <c:extLst>
            <c:ext xmlns:c15="http://schemas.microsoft.com/office/drawing/2012/chart" uri="{02D57815-91ED-43cb-92C2-25804820EDAC}">
              <c15:datalabelsRange>
                <c15:f>[0]!Risk_ID</c15:f>
                <c15:dlblRangeCache>
                  <c:ptCount val="25"/>
                  <c:pt idx="4">
                    <c:v>Culture</c:v>
                  </c:pt>
                  <c:pt idx="5">
                    <c:v>Research, Festival</c:v>
                  </c:pt>
                  <c:pt idx="7">
                    <c:v>Manufacturing</c:v>
                  </c:pt>
                  <c:pt idx="11">
                    <c:v>Strategic</c:v>
                  </c:pt>
                  <c:pt idx="15">
                    <c:v>Operational</c:v>
                  </c:pt>
                  <c:pt idx="17">
                    <c:v>People</c:v>
                  </c:pt>
                  <c:pt idx="18">
                    <c:v>Governance</c:v>
                  </c:pt>
                  <c:pt idx="22">
                    <c:v>Financial, Regulatory, External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CADF-43F0-8578-B812B1FEAF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75"/>
        <c:showNegBubbles val="0"/>
        <c:axId val="148841648"/>
        <c:axId val="148842064"/>
      </c:bubbleChart>
      <c:valAx>
        <c:axId val="148841648"/>
        <c:scaling>
          <c:orientation val="minMax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8842064"/>
        <c:crosses val="autoZero"/>
        <c:crossBetween val="midCat"/>
      </c:valAx>
      <c:valAx>
        <c:axId val="148842064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8841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622347</xdr:colOff>
      <xdr:row>67</xdr:row>
      <xdr:rowOff>98471</xdr:rowOff>
    </xdr:from>
    <xdr:to>
      <xdr:col>17</xdr:col>
      <xdr:colOff>50847</xdr:colOff>
      <xdr:row>79</xdr:row>
      <xdr:rowOff>120883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08F2945-3C67-0D3F-A401-DE83BB8FE9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69</xdr:row>
      <xdr:rowOff>0</xdr:rowOff>
    </xdr:from>
    <xdr:to>
      <xdr:col>10</xdr:col>
      <xdr:colOff>0</xdr:colOff>
      <xdr:row>76</xdr:row>
      <xdr:rowOff>201705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AA676D0A-C168-FE6F-5EEE-B10BCA9B4C39}"/>
            </a:ext>
          </a:extLst>
        </xdr:cNvPr>
        <xdr:cNvCxnSpPr/>
      </xdr:nvCxnSpPr>
      <xdr:spPr>
        <a:xfrm flipV="1">
          <a:off x="8494059" y="11295529"/>
          <a:ext cx="0" cy="6073588"/>
        </a:xfrm>
        <a:prstGeom prst="straightConnector1">
          <a:avLst/>
        </a:prstGeom>
        <a:ln w="1905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77</xdr:row>
      <xdr:rowOff>0</xdr:rowOff>
    </xdr:from>
    <xdr:to>
      <xdr:col>17</xdr:col>
      <xdr:colOff>0</xdr:colOff>
      <xdr:row>77</xdr:row>
      <xdr:rowOff>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63D39C56-E995-81E8-1381-F875E1170C43}"/>
            </a:ext>
          </a:extLst>
        </xdr:cNvPr>
        <xdr:cNvCxnSpPr/>
      </xdr:nvCxnSpPr>
      <xdr:spPr>
        <a:xfrm>
          <a:off x="7115175" y="16240125"/>
          <a:ext cx="5591175" cy="0"/>
        </a:xfrm>
        <a:prstGeom prst="straightConnector1">
          <a:avLst/>
        </a:prstGeom>
        <a:ln w="19050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FD38CE9-B3D2-4319-8F27-501ED85E230C}" name="Risk_Category" displayName="Risk_Category" ref="D20:F31" totalsRowShown="0">
  <tableColumns count="3">
    <tableColumn id="1" xr3:uid="{C35FE2A1-74DA-4AC2-B6F4-4E90A7AF9B7F}" name="Risk Category" dataDxfId="10" dataCellStyle="Assumption"/>
    <tableColumn id="2" xr3:uid="{D587A37F-0992-40C0-A303-0DDB8022E569}" name="Likelihood" dataCellStyle="Assumption"/>
    <tableColumn id="3" xr3:uid="{A2DF0872-47EA-4839-8914-7E23F4B32955}" name="Consequence" dataCellStyle="Assumpt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A7566B-592B-4234-B00A-71C249E69AD0}" name="Chart_Data" displayName="Chart_Data" ref="D41:H66" headerRowCellStyle="Table_Heading">
  <autoFilter ref="D41:H66" xr:uid="{79A7566B-592B-4234-B00A-71C249E69AD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BCAD874-9CB7-4E8A-9CEE-97D32D368550}" name="Case Number" totalsRowLabel="Total" dataDxfId="9">
      <calculatedColumnFormula>N(D41)+1</calculatedColumnFormula>
    </tableColumn>
    <tableColumn id="2" xr3:uid="{674D667A-7F49-4C2E-9C65-DF6B10829B91}" name="Consequence No." dataDxfId="8">
      <calculatedColumnFormula>IF(MOD(Chart_Data[[#This Row],[Case Number]],COUNTA(LU_Consequences))=0,COUNTA(LU_Consequences),MOD(Chart_Data[[#This Row],[Case Number]],COUNTA(LU_Consequences)))</calculatedColumnFormula>
    </tableColumn>
    <tableColumn id="3" xr3:uid="{E9ED28FE-DB7E-43FC-8E21-9DBFE0614049}" name="Likelihood No." dataDxfId="7">
      <calculatedColumnFormula>ROUNDUP(Chart_Data[[#This Row],[Case Number]]/$F$37,0)</calculatedColumnFormula>
    </tableColumn>
    <tableColumn id="4" xr3:uid="{7AD88419-8714-4297-BB1F-A9F7694FAF8A}" name="Occurrences" dataDxfId="6">
      <calculatedColumnFormula>COUNTIFS(Risk_Category[Likelihood],Chart_Data[[#This Row],[Likelihood No.]],Risk_Category[Consequence],Chart_Data[[#This Row],[Consequence No.]])</calculatedColumnFormula>
    </tableColumn>
    <tableColumn id="5" xr3:uid="{2ABFB538-BAF4-42C1-8BEE-B709A0CD66FE}" name="Risk Id" totalsRowFunction="count" dataDxfId="5">
      <calculatedColumnFormula array="1">_xlfn.TEXTJOIN(", ",,IF(Risk_Category[Likelihood]=Chart_Data[[#This Row],[Likelihood No.]],IF(Risk_Category[Consequence]=Chart_Data[[#This Row],[Consequence No.]],Risk_Category[Risk Category],""),""))</calculatedColumnFormula>
    </tableColumn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9F82BD-D451-429A-BE84-436CCEF9E126}" name="LU_Matrix" displayName="LU_Matrix" ref="D10:I15" totalsRowShown="0" headerRowDxfId="4" headerRowCellStyle="Table_Heading" dataCellStyle="Assumption">
  <tableColumns count="6">
    <tableColumn id="1" xr3:uid="{B1D40370-613C-4DF8-BC01-2C7F688F02FC}" name=" " dataCellStyle="Table_Heading"/>
    <tableColumn id="2" xr3:uid="{66A95CCE-2A83-4B2A-87F3-BDDD19BAC929}" name="Minimal" dataCellStyle="Assumption"/>
    <tableColumn id="3" xr3:uid="{DCA32996-2224-4A75-8D24-EE7F4C7FD7CF}" name="Minor" dataCellStyle="Assumption"/>
    <tableColumn id="4" xr3:uid="{C78E938A-2D7E-49D6-A912-A5A5C75AF81C}" name="Moderate" dataCellStyle="Assumption"/>
    <tableColumn id="5" xr3:uid="{F26800CB-22CA-4F67-89EE-588A576F7BA1}" name="Major" dataCellStyle="Assumption"/>
    <tableColumn id="6" xr3:uid="{E173623E-E66D-49CB-9559-C306C6394BB7}" name="Catastrophic" dataCellStyle="Assumption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11" t="s">
        <v>1</v>
      </c>
    </row>
    <row r="5" spans="1:19" ht="20.25" x14ac:dyDescent="0.3">
      <c r="C5" s="43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44" t="str">
        <f ca="1">Model_Name</f>
        <v>SP Risk Bubble Chart.xlsx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40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81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19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65" t="s">
        <v>122</v>
      </c>
      <c r="D17" s="65"/>
      <c r="E17" s="65"/>
      <c r="F17" s="65"/>
      <c r="G17" s="65"/>
      <c r="H17" s="65"/>
      <c r="I17" s="65"/>
      <c r="J17" s="65"/>
    </row>
    <row r="18" spans="3:10" ht="12.75" x14ac:dyDescent="0.2">
      <c r="C18" s="65"/>
      <c r="D18" s="65"/>
      <c r="E18" s="65"/>
      <c r="F18" s="65"/>
      <c r="G18" s="65"/>
      <c r="H18" s="65"/>
      <c r="I18" s="65"/>
      <c r="J18" s="65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20</v>
      </c>
      <c r="D21" s="9"/>
      <c r="E21" s="7"/>
      <c r="F21" s="7"/>
      <c r="G21" s="66" t="s">
        <v>123</v>
      </c>
      <c r="H21" s="66"/>
      <c r="I21" s="66"/>
      <c r="J21" s="7"/>
    </row>
    <row r="22" spans="3:10" ht="12.75" x14ac:dyDescent="0.2">
      <c r="C22" s="10" t="s">
        <v>21</v>
      </c>
      <c r="D22" s="9"/>
      <c r="E22" s="7"/>
      <c r="F22" s="7"/>
      <c r="G22" s="66" t="s">
        <v>22</v>
      </c>
      <c r="H22" s="66"/>
      <c r="I22" s="66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43" t="s">
        <v>1</v>
      </c>
      <c r="F1" s="12"/>
      <c r="G1" s="12"/>
    </row>
    <row r="2" spans="1:12" ht="18" x14ac:dyDescent="0.25">
      <c r="A2" s="44" t="str">
        <f ca="1">Model_Name</f>
        <v>SP Risk Bubble Chart.xlsx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5">
        <v>1</v>
      </c>
      <c r="C7" s="45" t="s">
        <v>23</v>
      </c>
      <c r="D7" s="45"/>
      <c r="E7" s="45"/>
      <c r="F7" s="45"/>
      <c r="G7" s="45"/>
      <c r="H7" s="45"/>
      <c r="I7" s="45"/>
      <c r="J7" s="45"/>
      <c r="K7" s="45"/>
      <c r="L7" s="45"/>
    </row>
    <row r="8" spans="1:12" ht="12.75" thickTop="1" x14ac:dyDescent="0.2"/>
    <row r="9" spans="1:12" x14ac:dyDescent="0.2">
      <c r="F9" s="11" t="s">
        <v>24</v>
      </c>
    </row>
    <row r="10" spans="1:12" x14ac:dyDescent="0.2">
      <c r="F10" s="11" t="s">
        <v>25</v>
      </c>
    </row>
    <row r="11" spans="1:12" x14ac:dyDescent="0.2">
      <c r="F11" s="11" t="s">
        <v>0</v>
      </c>
    </row>
    <row r="12" spans="1:12" x14ac:dyDescent="0.2">
      <c r="F12" s="11" t="s">
        <v>69</v>
      </c>
    </row>
    <row r="13" spans="1:12" x14ac:dyDescent="0.2">
      <c r="F13" s="11" t="s">
        <v>118</v>
      </c>
    </row>
    <row r="14" spans="1:12" x14ac:dyDescent="0.2">
      <c r="F14" s="11" t="s">
        <v>64</v>
      </c>
    </row>
    <row r="15" spans="1:12" x14ac:dyDescent="0.2">
      <c r="F15" s="11"/>
    </row>
    <row r="16" spans="1:12" x14ac:dyDescent="0.2">
      <c r="F16" s="11"/>
    </row>
  </sheetData>
  <conditionalFormatting sqref="G4">
    <cfRule type="cellIs" dxfId="19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F5587D58-BDB0-404A-89DA-87D8128606EF}"/>
    <hyperlink ref="F10" location="HL_3" display="Style Guide" xr:uid="{6D3A582C-AB24-48AE-AD1A-01177248E15F}"/>
    <hyperlink ref="F11" location="HL_4" display="Model Parameters" xr:uid="{B57337C6-CAE8-480B-9C98-4791C9483C71}"/>
    <hyperlink ref="F12" location="HL_5" display="Timing" xr:uid="{8816C342-33C6-4419-A7A5-50DE1B699E06}"/>
    <hyperlink ref="F13" location="HL_6" display="Risk Bubble Chart" xr:uid="{09046926-1156-4B08-8074-89FCBB2F9510}"/>
    <hyperlink ref="F14" location="HL_7" display="Error Checks" xr:uid="{15D2C84E-4B13-438C-9F43-4BFCAA8B0A95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43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44" t="str">
        <f ca="1">Model_Name</f>
        <v>SP Risk Bubble Chart.xlsx</v>
      </c>
    </row>
    <row r="3" spans="1:13" x14ac:dyDescent="0.2">
      <c r="A3" s="66" t="s">
        <v>1</v>
      </c>
      <c r="B3" s="66"/>
      <c r="C3" s="66"/>
      <c r="D3" s="66"/>
      <c r="E3" s="66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5">
        <f>MAX($B$5:$B5)+1</f>
        <v>1</v>
      </c>
      <c r="C6" s="2" t="s">
        <v>26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8" t="s">
        <v>27</v>
      </c>
      <c r="D8" s="68"/>
      <c r="E8" s="68"/>
      <c r="F8" s="68"/>
      <c r="G8" s="68"/>
      <c r="H8" s="13"/>
      <c r="I8" s="13" t="s">
        <v>28</v>
      </c>
      <c r="J8" s="13"/>
      <c r="K8" s="13" t="s">
        <v>29</v>
      </c>
    </row>
    <row r="9" spans="1:13" outlineLevel="1" x14ac:dyDescent="0.2">
      <c r="C9" s="67"/>
      <c r="D9" s="67"/>
      <c r="E9" s="67"/>
      <c r="F9" s="67"/>
      <c r="G9" s="67"/>
      <c r="K9" s="17"/>
    </row>
    <row r="10" spans="1:13" ht="20.25" outlineLevel="1" x14ac:dyDescent="0.3">
      <c r="C10" s="67" t="s">
        <v>30</v>
      </c>
      <c r="D10" s="67"/>
      <c r="E10" s="67"/>
      <c r="F10" s="67"/>
      <c r="G10" s="67"/>
      <c r="I10" s="14" t="str">
        <f>C10</f>
        <v>Sheet Title</v>
      </c>
      <c r="K10" s="15" t="s">
        <v>30</v>
      </c>
    </row>
    <row r="11" spans="1:13" ht="18" outlineLevel="1" x14ac:dyDescent="0.25">
      <c r="C11" s="67" t="s">
        <v>5</v>
      </c>
      <c r="D11" s="67"/>
      <c r="E11" s="67"/>
      <c r="F11" s="67"/>
      <c r="G11" s="67"/>
      <c r="I11" s="16" t="str">
        <f>C11</f>
        <v>Model Name</v>
      </c>
      <c r="K11" s="15" t="s">
        <v>5</v>
      </c>
    </row>
    <row r="12" spans="1:13" outlineLevel="1" x14ac:dyDescent="0.2">
      <c r="C12" s="67"/>
      <c r="D12" s="67"/>
      <c r="E12" s="67"/>
      <c r="F12" s="67"/>
      <c r="G12" s="67"/>
      <c r="K12" s="17"/>
    </row>
    <row r="13" spans="1:13" ht="16.5" outlineLevel="1" thickBot="1" x14ac:dyDescent="0.3">
      <c r="C13" s="67" t="s">
        <v>31</v>
      </c>
      <c r="D13" s="67"/>
      <c r="E13" s="67"/>
      <c r="F13" s="67"/>
      <c r="G13" s="67"/>
      <c r="I13" s="42" t="str">
        <f>C13</f>
        <v>Header 1</v>
      </c>
      <c r="K13" s="15" t="s">
        <v>31</v>
      </c>
    </row>
    <row r="14" spans="1:13" ht="17.25" outlineLevel="1" thickTop="1" x14ac:dyDescent="0.25">
      <c r="C14" s="67" t="s">
        <v>32</v>
      </c>
      <c r="D14" s="67"/>
      <c r="E14" s="67"/>
      <c r="F14" s="67"/>
      <c r="G14" s="67"/>
      <c r="I14" s="3" t="str">
        <f>C14</f>
        <v>Header 2</v>
      </c>
      <c r="K14" s="15" t="s">
        <v>32</v>
      </c>
    </row>
    <row r="15" spans="1:13" ht="15" outlineLevel="1" x14ac:dyDescent="0.25">
      <c r="C15" s="67" t="s">
        <v>33</v>
      </c>
      <c r="D15" s="67"/>
      <c r="E15" s="67"/>
      <c r="F15" s="67"/>
      <c r="G15" s="67"/>
      <c r="I15" s="4" t="str">
        <f>C15</f>
        <v>Header 3</v>
      </c>
      <c r="K15" s="15" t="s">
        <v>33</v>
      </c>
    </row>
    <row r="16" spans="1:13" ht="15" outlineLevel="1" x14ac:dyDescent="0.25">
      <c r="C16" s="67" t="s">
        <v>34</v>
      </c>
      <c r="D16" s="67"/>
      <c r="E16" s="67"/>
      <c r="F16" s="67"/>
      <c r="G16" s="67"/>
      <c r="I16" s="18" t="str">
        <f>C16</f>
        <v>Header 4</v>
      </c>
      <c r="K16" s="15" t="s">
        <v>34</v>
      </c>
    </row>
    <row r="17" spans="2:14" outlineLevel="1" x14ac:dyDescent="0.2">
      <c r="C17" s="67"/>
      <c r="D17" s="67"/>
      <c r="E17" s="67"/>
      <c r="F17" s="67"/>
      <c r="G17" s="67"/>
      <c r="K17" s="17"/>
    </row>
    <row r="18" spans="2:14" ht="15" outlineLevel="1" x14ac:dyDescent="0.25">
      <c r="C18" s="67" t="s">
        <v>35</v>
      </c>
      <c r="D18" s="67"/>
      <c r="E18" s="67"/>
      <c r="F18" s="67"/>
      <c r="G18" s="67"/>
      <c r="I18" s="19" t="str">
        <f>C18</f>
        <v>Notes</v>
      </c>
      <c r="K18" s="15" t="s">
        <v>35</v>
      </c>
    </row>
    <row r="19" spans="2:14" outlineLevel="1" x14ac:dyDescent="0.2">
      <c r="C19" s="67"/>
      <c r="D19" s="67"/>
      <c r="E19" s="67"/>
      <c r="F19" s="67"/>
      <c r="G19" s="67"/>
      <c r="K19" s="17"/>
      <c r="N19" s="19"/>
    </row>
    <row r="20" spans="2:14" ht="15" outlineLevel="1" x14ac:dyDescent="0.25">
      <c r="C20" s="67" t="s">
        <v>36</v>
      </c>
      <c r="D20" s="67"/>
      <c r="E20" s="67"/>
      <c r="F20" s="67"/>
      <c r="G20" s="67"/>
      <c r="I20" s="13" t="str">
        <f>C20</f>
        <v>Table Heading</v>
      </c>
      <c r="K20" s="15" t="s">
        <v>36</v>
      </c>
    </row>
    <row r="21" spans="2:14" outlineLevel="1" x14ac:dyDescent="0.2"/>
    <row r="22" spans="2:14" outlineLevel="1" x14ac:dyDescent="0.2"/>
    <row r="23" spans="2:14" ht="16.5" thickBot="1" x14ac:dyDescent="0.3">
      <c r="B23" s="45">
        <f>MAX($B$5:$B22)+1</f>
        <v>2</v>
      </c>
      <c r="C23" s="2" t="s">
        <v>37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8" t="s">
        <v>27</v>
      </c>
      <c r="D25" s="68"/>
      <c r="E25" s="68"/>
      <c r="F25" s="68"/>
      <c r="G25" s="68"/>
      <c r="H25" s="13"/>
      <c r="I25" s="13" t="s">
        <v>28</v>
      </c>
      <c r="J25" s="13"/>
      <c r="K25" s="13" t="s">
        <v>29</v>
      </c>
    </row>
    <row r="26" spans="2:14" ht="15" outlineLevel="1" x14ac:dyDescent="0.25">
      <c r="C26" s="67"/>
      <c r="D26" s="67"/>
      <c r="E26" s="67"/>
      <c r="F26" s="67"/>
      <c r="G26" s="67"/>
      <c r="K26" s="15"/>
    </row>
    <row r="27" spans="2:14" ht="15" outlineLevel="1" x14ac:dyDescent="0.25">
      <c r="C27" s="67" t="s">
        <v>38</v>
      </c>
      <c r="D27" s="67"/>
      <c r="E27" s="67"/>
      <c r="F27" s="67"/>
      <c r="G27" s="67"/>
      <c r="I27" s="20" t="s">
        <v>38</v>
      </c>
      <c r="K27" s="21" t="str">
        <f>C27</f>
        <v>Assumption</v>
      </c>
    </row>
    <row r="28" spans="2:14" ht="15" outlineLevel="1" x14ac:dyDescent="0.25">
      <c r="C28" s="67"/>
      <c r="D28" s="67"/>
      <c r="E28" s="67"/>
      <c r="F28" s="67"/>
      <c r="G28" s="67"/>
      <c r="K28" s="21"/>
    </row>
    <row r="29" spans="2:14" ht="15" outlineLevel="1" x14ac:dyDescent="0.25">
      <c r="C29" s="67" t="s">
        <v>39</v>
      </c>
      <c r="D29" s="67"/>
      <c r="E29" s="67"/>
      <c r="F29" s="67"/>
      <c r="G29" s="67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67"/>
      <c r="D30" s="67"/>
      <c r="E30" s="67"/>
      <c r="F30" s="67"/>
      <c r="G30" s="67"/>
      <c r="K30" s="21"/>
    </row>
    <row r="31" spans="2:14" ht="15" outlineLevel="1" x14ac:dyDescent="0.25">
      <c r="C31" s="67" t="s">
        <v>40</v>
      </c>
      <c r="D31" s="67"/>
      <c r="E31" s="67"/>
      <c r="F31" s="67"/>
      <c r="G31" s="67"/>
      <c r="I31" s="23"/>
      <c r="K31" s="21" t="str">
        <f>C31</f>
        <v>Empty</v>
      </c>
    </row>
    <row r="32" spans="2:14" ht="15" outlineLevel="1" x14ac:dyDescent="0.25">
      <c r="C32" s="67"/>
      <c r="D32" s="67"/>
      <c r="E32" s="67"/>
      <c r="F32" s="67"/>
      <c r="G32" s="67"/>
      <c r="K32" s="21"/>
    </row>
    <row r="33" spans="3:11" ht="15" outlineLevel="1" x14ac:dyDescent="0.25">
      <c r="C33" t="s">
        <v>41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67" t="s">
        <v>42</v>
      </c>
      <c r="D35" s="67"/>
      <c r="E35" s="67"/>
      <c r="F35" s="67"/>
      <c r="G35" s="67"/>
      <c r="I35" s="11" t="s">
        <v>42</v>
      </c>
      <c r="K35" s="21" t="str">
        <f>C35</f>
        <v>Hyperlink</v>
      </c>
    </row>
    <row r="36" spans="3:11" ht="15" outlineLevel="1" x14ac:dyDescent="0.25">
      <c r="C36" s="67"/>
      <c r="D36" s="67"/>
      <c r="E36" s="67"/>
      <c r="F36" s="67"/>
      <c r="G36" s="67"/>
      <c r="K36" s="21"/>
    </row>
    <row r="37" spans="3:11" ht="15" outlineLevel="1" x14ac:dyDescent="0.25">
      <c r="C37" s="67" t="s">
        <v>43</v>
      </c>
      <c r="D37" s="67"/>
      <c r="E37" s="67"/>
      <c r="F37" s="67"/>
      <c r="G37" s="67"/>
      <c r="I37" s="25" t="str">
        <f>'Error Checks'!E12</f>
        <v>Example</v>
      </c>
      <c r="K37" s="21" t="str">
        <f>C37</f>
        <v>Internal Reference</v>
      </c>
    </row>
    <row r="38" spans="3:11" ht="15" outlineLevel="1" x14ac:dyDescent="0.25">
      <c r="C38" s="67"/>
      <c r="D38" s="67"/>
      <c r="E38" s="67"/>
      <c r="F38" s="67"/>
      <c r="G38" s="67"/>
      <c r="K38" s="21"/>
    </row>
    <row r="39" spans="3:11" ht="15" outlineLevel="1" x14ac:dyDescent="0.25">
      <c r="C39" s="67" t="s">
        <v>44</v>
      </c>
      <c r="D39" s="67"/>
      <c r="E39" s="67"/>
      <c r="F39" s="67"/>
      <c r="G39" s="67"/>
      <c r="I39" s="26">
        <v>77</v>
      </c>
      <c r="K39" s="21" t="s">
        <v>45</v>
      </c>
    </row>
    <row r="40" spans="3:11" ht="15" outlineLevel="1" x14ac:dyDescent="0.25">
      <c r="C40" s="67"/>
      <c r="D40" s="67"/>
      <c r="E40" s="67"/>
      <c r="F40" s="67"/>
      <c r="G40" s="67"/>
      <c r="K40" s="21"/>
    </row>
    <row r="41" spans="3:11" ht="15" outlineLevel="1" x14ac:dyDescent="0.25">
      <c r="C41" s="67" t="s">
        <v>46</v>
      </c>
      <c r="D41" s="67"/>
      <c r="E41" s="67"/>
      <c r="F41" s="67"/>
      <c r="G41" s="67"/>
      <c r="I41" s="27">
        <f>I39</f>
        <v>77</v>
      </c>
      <c r="K41" s="21" t="str">
        <f>C41</f>
        <v>Line Total</v>
      </c>
    </row>
    <row r="42" spans="3:11" ht="15" outlineLevel="1" x14ac:dyDescent="0.25">
      <c r="C42" s="67"/>
      <c r="D42" s="67"/>
      <c r="E42" s="67"/>
      <c r="F42" s="67"/>
      <c r="G42" s="67"/>
      <c r="K42" s="21"/>
    </row>
    <row r="43" spans="3:11" ht="15" outlineLevel="1" x14ac:dyDescent="0.25">
      <c r="C43" s="67" t="s">
        <v>47</v>
      </c>
      <c r="D43" s="67"/>
      <c r="E43" s="67"/>
      <c r="F43" s="67"/>
      <c r="G43" s="67"/>
      <c r="I43" s="28">
        <v>365</v>
      </c>
      <c r="K43" s="21" t="str">
        <f>C43</f>
        <v>Parameter</v>
      </c>
    </row>
    <row r="44" spans="3:11" ht="15" outlineLevel="1" x14ac:dyDescent="0.25">
      <c r="C44" s="67"/>
      <c r="D44" s="67"/>
      <c r="E44" s="67"/>
      <c r="F44" s="67"/>
      <c r="G44" s="67"/>
      <c r="K44" s="21"/>
    </row>
    <row r="45" spans="3:11" ht="15" outlineLevel="1" x14ac:dyDescent="0.25">
      <c r="C45" s="67" t="s">
        <v>48</v>
      </c>
      <c r="D45" s="67"/>
      <c r="E45" s="67"/>
      <c r="F45" s="67"/>
      <c r="G45" s="67"/>
      <c r="I45" s="29" t="s">
        <v>49</v>
      </c>
      <c r="K45" s="21" t="str">
        <f>C45</f>
        <v>Range Name Description</v>
      </c>
    </row>
    <row r="46" spans="3:11" ht="15" outlineLevel="1" x14ac:dyDescent="0.25">
      <c r="C46" s="67"/>
      <c r="D46" s="67"/>
      <c r="E46" s="67"/>
      <c r="F46" s="67"/>
      <c r="G46" s="67"/>
      <c r="K46" s="21"/>
    </row>
    <row r="47" spans="3:11" ht="15" outlineLevel="1" x14ac:dyDescent="0.25">
      <c r="C47" s="67" t="s">
        <v>50</v>
      </c>
      <c r="D47" s="67"/>
      <c r="E47" s="67"/>
      <c r="F47" s="67"/>
      <c r="G47" s="67"/>
      <c r="I47" s="30">
        <f>ROW(C47)</f>
        <v>47</v>
      </c>
      <c r="K47" s="21" t="s">
        <v>51</v>
      </c>
    </row>
    <row r="48" spans="3:11" ht="15" outlineLevel="1" x14ac:dyDescent="0.25">
      <c r="C48" s="67"/>
      <c r="D48" s="67"/>
      <c r="E48" s="67"/>
      <c r="F48" s="67"/>
      <c r="G48" s="67"/>
      <c r="K48" s="21"/>
    </row>
    <row r="49" spans="2:13" ht="15" outlineLevel="1" x14ac:dyDescent="0.25">
      <c r="C49" s="67" t="s">
        <v>52</v>
      </c>
      <c r="D49" s="67"/>
      <c r="E49" s="67"/>
      <c r="F49" s="67"/>
      <c r="G49" s="67"/>
      <c r="I49" s="31">
        <f>I41</f>
        <v>77</v>
      </c>
      <c r="K49" s="21" t="str">
        <f>C49</f>
        <v>Row Summary</v>
      </c>
    </row>
    <row r="50" spans="2:13" ht="15" outlineLevel="1" x14ac:dyDescent="0.25">
      <c r="C50" s="67"/>
      <c r="D50" s="67"/>
      <c r="E50" s="67"/>
      <c r="F50" s="67"/>
      <c r="G50" s="67"/>
      <c r="K50" s="21"/>
    </row>
    <row r="51" spans="2:13" ht="15" outlineLevel="1" x14ac:dyDescent="0.25">
      <c r="C51" s="67" t="s">
        <v>53</v>
      </c>
      <c r="D51" s="67"/>
      <c r="E51" s="67"/>
      <c r="F51" s="67"/>
      <c r="G51" s="67"/>
      <c r="I51" s="32" t="s">
        <v>68</v>
      </c>
      <c r="K51" s="21" t="str">
        <f>C51</f>
        <v>Units</v>
      </c>
    </row>
    <row r="52" spans="2:13" ht="15" outlineLevel="1" x14ac:dyDescent="0.25">
      <c r="C52" s="67"/>
      <c r="D52" s="67"/>
      <c r="E52" s="67"/>
      <c r="F52" s="67"/>
      <c r="G52" s="67"/>
      <c r="K52" s="21"/>
    </row>
    <row r="53" spans="2:13" ht="15" outlineLevel="1" x14ac:dyDescent="0.25">
      <c r="C53" s="67" t="s">
        <v>54</v>
      </c>
      <c r="D53" s="67"/>
      <c r="E53" s="67"/>
      <c r="F53" s="67"/>
      <c r="G53" s="67"/>
      <c r="I53" s="33"/>
      <c r="K53" s="21" t="str">
        <f>C53</f>
        <v>WIP</v>
      </c>
    </row>
    <row r="54" spans="2:13" ht="15" outlineLevel="1" x14ac:dyDescent="0.25">
      <c r="C54" s="67"/>
      <c r="D54" s="67"/>
      <c r="E54" s="67"/>
      <c r="F54" s="67"/>
      <c r="G54" s="67"/>
      <c r="K54" s="21"/>
    </row>
    <row r="55" spans="2:13" outlineLevel="1" x14ac:dyDescent="0.2">
      <c r="C55" s="67"/>
      <c r="D55" s="67"/>
      <c r="E55" s="67"/>
      <c r="F55" s="67"/>
      <c r="G55" s="67"/>
    </row>
    <row r="56" spans="2:13" ht="16.5" thickBot="1" x14ac:dyDescent="0.3">
      <c r="B56" s="45">
        <f>MAX($B$5:$B55)+1</f>
        <v>3</v>
      </c>
      <c r="C56" s="2" t="s">
        <v>55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8" t="s">
        <v>27</v>
      </c>
      <c r="D58" s="68"/>
      <c r="E58" s="68"/>
      <c r="F58" s="68"/>
      <c r="G58" s="68"/>
      <c r="H58" s="13"/>
      <c r="I58" s="13" t="s">
        <v>28</v>
      </c>
      <c r="J58" s="13"/>
      <c r="K58" s="13" t="s">
        <v>29</v>
      </c>
    </row>
    <row r="59" spans="2:13" outlineLevel="1" x14ac:dyDescent="0.2"/>
    <row r="60" spans="2:13" ht="15" outlineLevel="1" x14ac:dyDescent="0.25">
      <c r="C60" s="67" t="s">
        <v>56</v>
      </c>
      <c r="D60" s="67"/>
      <c r="E60" s="67"/>
      <c r="F60" s="67"/>
      <c r="G60" s="67"/>
      <c r="I60" s="47">
        <v>123456.789</v>
      </c>
      <c r="K60" s="21" t="str">
        <f t="shared" ref="K60:K66" si="0">C60</f>
        <v>Comma</v>
      </c>
    </row>
    <row r="61" spans="2:13" ht="15" outlineLevel="1" x14ac:dyDescent="0.25">
      <c r="C61" s="67"/>
      <c r="D61" s="67"/>
      <c r="E61" s="67"/>
      <c r="F61" s="67"/>
      <c r="G61" s="67"/>
      <c r="K61" s="21"/>
    </row>
    <row r="62" spans="2:13" ht="15" outlineLevel="1" x14ac:dyDescent="0.25">
      <c r="C62" s="67" t="s">
        <v>57</v>
      </c>
      <c r="D62" s="67"/>
      <c r="E62" s="67"/>
      <c r="F62" s="67"/>
      <c r="G62" s="67"/>
      <c r="I62" s="34">
        <v>-123456.789</v>
      </c>
      <c r="K62" s="21" t="str">
        <f t="shared" si="0"/>
        <v>Comma [0]</v>
      </c>
    </row>
    <row r="63" spans="2:13" ht="15" outlineLevel="1" x14ac:dyDescent="0.25">
      <c r="C63" s="67"/>
      <c r="D63" s="67"/>
      <c r="E63" s="67"/>
      <c r="F63" s="67"/>
      <c r="G63" s="67"/>
      <c r="K63" s="21"/>
    </row>
    <row r="64" spans="2:13" ht="15" outlineLevel="1" x14ac:dyDescent="0.25">
      <c r="C64" s="67" t="s">
        <v>58</v>
      </c>
      <c r="D64" s="67"/>
      <c r="E64" s="67"/>
      <c r="F64" s="67"/>
      <c r="G64" s="67"/>
      <c r="I64" s="48">
        <v>123456.789</v>
      </c>
      <c r="K64" s="21" t="str">
        <f t="shared" si="0"/>
        <v>Currency</v>
      </c>
    </row>
    <row r="65" spans="3:11" ht="15" outlineLevel="1" x14ac:dyDescent="0.25">
      <c r="C65" s="67"/>
      <c r="D65" s="67"/>
      <c r="E65" s="67"/>
      <c r="F65" s="67"/>
      <c r="G65" s="67"/>
      <c r="K65" s="21"/>
    </row>
    <row r="66" spans="3:11" ht="15" outlineLevel="1" x14ac:dyDescent="0.25">
      <c r="C66" s="67" t="s">
        <v>59</v>
      </c>
      <c r="D66" s="67"/>
      <c r="E66" s="67"/>
      <c r="F66" s="67"/>
      <c r="G66" s="67"/>
      <c r="I66" s="49">
        <v>123456.789</v>
      </c>
      <c r="K66" s="21" t="str">
        <f t="shared" si="0"/>
        <v>Currency [0]</v>
      </c>
    </row>
    <row r="67" spans="3:11" ht="15" outlineLevel="1" x14ac:dyDescent="0.25">
      <c r="C67" s="67"/>
      <c r="D67" s="67"/>
      <c r="E67" s="67"/>
      <c r="F67" s="67"/>
      <c r="G67" s="67"/>
      <c r="K67" s="21"/>
    </row>
    <row r="68" spans="3:11" ht="15" outlineLevel="1" x14ac:dyDescent="0.25">
      <c r="C68" s="67" t="s">
        <v>60</v>
      </c>
      <c r="D68" s="67"/>
      <c r="E68" s="67"/>
      <c r="F68" s="67"/>
      <c r="G68" s="67"/>
      <c r="I68" s="50">
        <f ca="1">TODAY()</f>
        <v>44889</v>
      </c>
      <c r="K68" s="21" t="str">
        <f>C68</f>
        <v>Date</v>
      </c>
    </row>
    <row r="69" spans="3:11" ht="15" outlineLevel="1" x14ac:dyDescent="0.25">
      <c r="C69" s="67"/>
      <c r="D69" s="67"/>
      <c r="E69" s="67"/>
      <c r="F69" s="67"/>
      <c r="G69" s="67"/>
      <c r="K69" s="21"/>
    </row>
    <row r="70" spans="3:11" ht="15" outlineLevel="1" x14ac:dyDescent="0.25">
      <c r="C70" s="67" t="s">
        <v>61</v>
      </c>
      <c r="D70" s="67"/>
      <c r="E70" s="67"/>
      <c r="F70" s="67"/>
      <c r="G70" s="67"/>
      <c r="I70" s="51">
        <f ca="1">TODAY()</f>
        <v>44889</v>
      </c>
      <c r="K70" s="21" t="str">
        <f>C70</f>
        <v>Date Heading</v>
      </c>
    </row>
    <row r="71" spans="3:11" ht="15" outlineLevel="1" x14ac:dyDescent="0.25">
      <c r="C71" s="67"/>
      <c r="D71" s="67"/>
      <c r="E71" s="67"/>
      <c r="F71" s="67"/>
      <c r="G71" s="67"/>
      <c r="K71" s="21"/>
    </row>
    <row r="72" spans="3:11" ht="15" outlineLevel="1" x14ac:dyDescent="0.25">
      <c r="C72" s="67" t="s">
        <v>62</v>
      </c>
      <c r="D72" s="67"/>
      <c r="E72" s="67"/>
      <c r="F72" s="67"/>
      <c r="G72" s="67"/>
      <c r="I72" s="35">
        <v>-123456.789</v>
      </c>
      <c r="K72" s="21" t="str">
        <f>C72</f>
        <v>Numbers 0</v>
      </c>
    </row>
    <row r="73" spans="3:11" ht="15" outlineLevel="1" x14ac:dyDescent="0.25">
      <c r="C73" s="67"/>
      <c r="D73" s="67"/>
      <c r="E73" s="67"/>
      <c r="F73" s="67"/>
      <c r="G73" s="67"/>
      <c r="K73" s="21"/>
    </row>
    <row r="74" spans="3:11" ht="15" outlineLevel="1" x14ac:dyDescent="0.25">
      <c r="C74" s="67" t="s">
        <v>63</v>
      </c>
      <c r="D74" s="67"/>
      <c r="E74" s="67"/>
      <c r="F74" s="67"/>
      <c r="G74" s="67"/>
      <c r="I74" s="36">
        <v>0.5</v>
      </c>
      <c r="K74" s="21" t="str">
        <f>C74</f>
        <v>Percent</v>
      </c>
    </row>
    <row r="75" spans="3:11" outlineLevel="1" x14ac:dyDescent="0.2">
      <c r="C75" s="67"/>
      <c r="D75" s="67"/>
      <c r="E75" s="67"/>
      <c r="F75" s="67"/>
      <c r="G75" s="67"/>
    </row>
    <row r="76" spans="3:11" outlineLevel="1" x14ac:dyDescent="0.2">
      <c r="C76" s="67"/>
      <c r="D76" s="67"/>
      <c r="E76" s="67"/>
      <c r="F76" s="67"/>
      <c r="G76" s="67"/>
    </row>
    <row r="77" spans="3:11" x14ac:dyDescent="0.2">
      <c r="C77" s="67"/>
      <c r="D77" s="67"/>
      <c r="E77" s="67"/>
      <c r="F77" s="67"/>
      <c r="G77" s="67"/>
    </row>
    <row r="78" spans="3:11" x14ac:dyDescent="0.2">
      <c r="C78" s="67"/>
      <c r="D78" s="67"/>
      <c r="E78" s="67"/>
      <c r="F78" s="67"/>
      <c r="G78" s="67"/>
    </row>
    <row r="79" spans="3:11" x14ac:dyDescent="0.2">
      <c r="C79" s="67"/>
      <c r="D79" s="67"/>
      <c r="E79" s="67"/>
      <c r="F79" s="67"/>
      <c r="G79" s="67"/>
    </row>
    <row r="80" spans="3:11" x14ac:dyDescent="0.2">
      <c r="C80" s="67"/>
      <c r="D80" s="67"/>
      <c r="E80" s="67"/>
      <c r="F80" s="67"/>
      <c r="G80" s="67"/>
    </row>
    <row r="81" spans="3:7" x14ac:dyDescent="0.2">
      <c r="C81" s="67"/>
      <c r="D81" s="67"/>
      <c r="E81" s="67"/>
      <c r="F81" s="67"/>
      <c r="G81" s="67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18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43" t="str">
        <f ca="1">IF(ISERROR(RIGHT(CELL("filename",A1),LEN(CELL("filename",A1))-FIND("]",CELL("filename",A1)))),
"",
RIGHT(CELL("filename",A1),LEN(CELL("filename",A1))-FIND("]",CELL("filename",A1))))</f>
        <v>Model Parameters</v>
      </c>
      <c r="J1" s="66"/>
      <c r="K1" s="66"/>
    </row>
    <row r="2" spans="1:18" ht="18" x14ac:dyDescent="0.25">
      <c r="A2" s="44" t="str">
        <f ca="1">Model_Name</f>
        <v>SP Risk Bubble Chart.xlsx</v>
      </c>
    </row>
    <row r="3" spans="1:18" x14ac:dyDescent="0.2">
      <c r="A3" s="66" t="s">
        <v>1</v>
      </c>
      <c r="B3" s="66"/>
      <c r="C3" s="66"/>
      <c r="D3" s="66"/>
      <c r="E3" s="66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5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9" t="str">
        <f ca="1">IF(ISERROR(OR(FIND("[",CELL("filename",A1)),FIND("]",CELL("filename",A1)))),"",MID(CELL("filename",A1),FIND("[",CELL("filename",A1))+1,FIND("]",CELL("filename",A1))-FIND("[",CELL("filename",A1))-1))</f>
        <v>SP Risk Bubble Chart.xlsx</v>
      </c>
      <c r="H11" s="69"/>
      <c r="I11" s="69"/>
      <c r="J11" s="69"/>
      <c r="K11" s="69"/>
      <c r="L11" s="69"/>
      <c r="M11" s="69"/>
      <c r="N11" s="69"/>
    </row>
    <row r="12" spans="1:18" outlineLevel="1" x14ac:dyDescent="0.2">
      <c r="E12" t="s">
        <v>6</v>
      </c>
      <c r="G12" s="70" t="s">
        <v>80</v>
      </c>
      <c r="H12" s="70"/>
      <c r="I12" s="70"/>
      <c r="J12" s="70"/>
      <c r="K12" s="70"/>
      <c r="L12" s="70"/>
      <c r="M12" s="70"/>
      <c r="N12" s="70"/>
    </row>
    <row r="13" spans="1:18" outlineLevel="1" x14ac:dyDescent="0.2"/>
    <row r="14" spans="1:18" outlineLevel="1" x14ac:dyDescent="0.2"/>
    <row r="15" spans="1:18" ht="16.5" thickBot="1" x14ac:dyDescent="0.3">
      <c r="B15" s="45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17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outlinePr summaryBelow="0"/>
  </sheetPr>
  <dimension ref="A1:O21"/>
  <sheetViews>
    <sheetView showGridLines="0" workbookViewId="0">
      <pane ySplit="9" topLeftCell="A10" activePane="bottomLeft" state="frozen"/>
      <selection pane="bottomLeft" activeCell="A3" sqref="A3:E3"/>
    </sheetView>
  </sheetViews>
  <sheetFormatPr defaultRowHeight="12" outlineLevelRow="1" x14ac:dyDescent="0.2"/>
  <cols>
    <col min="1" max="5" width="3.7109375" customWidth="1"/>
    <col min="7" max="7" width="22.140625" customWidth="1"/>
    <col min="8" max="8" width="10.7109375" customWidth="1"/>
    <col min="10" max="14" width="10.7109375" customWidth="1"/>
  </cols>
  <sheetData>
    <row r="1" spans="1:15" ht="20.25" x14ac:dyDescent="0.3">
      <c r="A1" s="43" t="str">
        <f ca="1">IF(ISERROR(RIGHT(CELL("filename",A1),LEN(CELL("filename",A1))-FIND("]",CELL("filename",A1)))),
"",
RIGHT(CELL("filename",A1),LEN(CELL("filename",A1))-FIND("]",CELL("filename",A1))))</f>
        <v>Timing</v>
      </c>
    </row>
    <row r="2" spans="1:15" ht="18" x14ac:dyDescent="0.25">
      <c r="A2" s="44" t="str">
        <f ca="1">Model_Name</f>
        <v>SP Risk Bubble Chart.xlsx</v>
      </c>
    </row>
    <row r="3" spans="1:15" x14ac:dyDescent="0.2">
      <c r="A3" s="66" t="s">
        <v>1</v>
      </c>
      <c r="B3" s="66"/>
      <c r="C3" s="66"/>
      <c r="D3" s="66"/>
      <c r="E3" s="66"/>
    </row>
    <row r="4" spans="1:15" ht="14.25" x14ac:dyDescent="0.2">
      <c r="B4" t="s">
        <v>2</v>
      </c>
      <c r="F4" s="1">
        <f>Overall_Error_Check</f>
        <v>0</v>
      </c>
    </row>
    <row r="5" spans="1:15" x14ac:dyDescent="0.2">
      <c r="J5" s="39">
        <f ca="1">J$7</f>
        <v>44926</v>
      </c>
      <c r="K5" s="39">
        <f ca="1">K$7</f>
        <v>45016</v>
      </c>
      <c r="L5" s="39">
        <f ca="1">L$7</f>
        <v>45107</v>
      </c>
      <c r="M5" s="39">
        <f ca="1">M$7</f>
        <v>45199</v>
      </c>
      <c r="N5" s="39">
        <f ca="1">N$7</f>
        <v>45291</v>
      </c>
    </row>
    <row r="6" spans="1:15" outlineLevel="1" x14ac:dyDescent="0.2">
      <c r="C6" t="s">
        <v>70</v>
      </c>
      <c r="J6" s="38">
        <f ca="1">IF(J$9=1,Model_Start_Date,I$7+1)</f>
        <v>44889</v>
      </c>
      <c r="K6" s="38">
        <f ca="1">IF(K$9=1,Model_Start_Date,J$7+1)</f>
        <v>44927</v>
      </c>
      <c r="L6" s="38">
        <f ca="1">IF(L$9=1,Model_Start_Date,K$7+1)</f>
        <v>45017</v>
      </c>
      <c r="M6" s="38">
        <f ca="1">IF(M$9=1,Model_Start_Date,L$7+1)</f>
        <v>45108</v>
      </c>
      <c r="N6" s="38">
        <f ca="1">IF(N$9=1,Model_Start_Date,M$7+1)</f>
        <v>45200</v>
      </c>
    </row>
    <row r="7" spans="1:15" outlineLevel="1" x14ac:dyDescent="0.2">
      <c r="C7" t="s">
        <v>71</v>
      </c>
      <c r="J7" s="38">
        <f ca="1">EOMONTH(J$6,MOD(Periodicity+Reporting_Month_Factor-MONTH(J$6),Periodicity))</f>
        <v>44926</v>
      </c>
      <c r="K7" s="38">
        <f ca="1">EOMONTH(K$6,MOD(Periodicity+Reporting_Month_Factor-MONTH(K$6),Periodicity))</f>
        <v>45016</v>
      </c>
      <c r="L7" s="38">
        <f ca="1">EOMONTH(L$6,MOD(Periodicity+Reporting_Month_Factor-MONTH(L$6),Periodicity))</f>
        <v>45107</v>
      </c>
      <c r="M7" s="38">
        <f ca="1">EOMONTH(M$6,MOD(Periodicity+Reporting_Month_Factor-MONTH(M$6),Periodicity))</f>
        <v>45199</v>
      </c>
      <c r="N7" s="38">
        <f ca="1">EOMONTH(N$6,MOD(Periodicity+Reporting_Month_Factor-MONTH(N$6),Periodicity))</f>
        <v>45291</v>
      </c>
    </row>
    <row r="8" spans="1:15" outlineLevel="1" x14ac:dyDescent="0.2">
      <c r="C8" t="s">
        <v>73</v>
      </c>
      <c r="J8" s="34">
        <f ca="1">J7-J6+1</f>
        <v>38</v>
      </c>
      <c r="K8" s="34">
        <f t="shared" ref="K8:N8" ca="1" si="0">K7-K6+1</f>
        <v>90</v>
      </c>
      <c r="L8" s="34">
        <f t="shared" ca="1" si="0"/>
        <v>91</v>
      </c>
      <c r="M8" s="34">
        <f t="shared" ca="1" si="0"/>
        <v>92</v>
      </c>
      <c r="N8" s="34">
        <f t="shared" ca="1" si="0"/>
        <v>92</v>
      </c>
    </row>
    <row r="9" spans="1:15" ht="15" outlineLevel="1" x14ac:dyDescent="0.25">
      <c r="C9" t="s">
        <v>72</v>
      </c>
      <c r="I9" s="23"/>
      <c r="J9" s="34">
        <f>N(I$9)+1</f>
        <v>1</v>
      </c>
      <c r="K9" s="34">
        <f t="shared" ref="K9:N9" si="1">N(J$9)+1</f>
        <v>2</v>
      </c>
      <c r="L9" s="34">
        <f t="shared" si="1"/>
        <v>3</v>
      </c>
      <c r="M9" s="34">
        <f t="shared" si="1"/>
        <v>4</v>
      </c>
      <c r="N9" s="34">
        <f t="shared" si="1"/>
        <v>5</v>
      </c>
    </row>
    <row r="10" spans="1:15" x14ac:dyDescent="0.2">
      <c r="A10" s="11"/>
    </row>
    <row r="11" spans="1:15" ht="16.5" thickBot="1" x14ac:dyDescent="0.3">
      <c r="B11" s="45">
        <f>MAX($B$10:$B10)+1</f>
        <v>1</v>
      </c>
      <c r="C11" s="41" t="s">
        <v>74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ht="12.75" thickTop="1" x14ac:dyDescent="0.2"/>
    <row r="13" spans="1:15" ht="16.5" x14ac:dyDescent="0.25">
      <c r="C13" s="3" t="s">
        <v>75</v>
      </c>
    </row>
    <row r="15" spans="1:15" x14ac:dyDescent="0.2">
      <c r="D15" t="s">
        <v>76</v>
      </c>
      <c r="H15" s="52">
        <f ca="1">TODAY()</f>
        <v>44889</v>
      </c>
    </row>
    <row r="17" spans="4:9" x14ac:dyDescent="0.2">
      <c r="D17" t="s">
        <v>77</v>
      </c>
      <c r="H17" s="46">
        <v>3</v>
      </c>
    </row>
    <row r="19" spans="4:9" x14ac:dyDescent="0.2">
      <c r="D19" t="s">
        <v>78</v>
      </c>
      <c r="H19" s="46">
        <v>12</v>
      </c>
      <c r="I19" s="19" t="str">
        <f ca="1">"e.g. "&amp;TEXT(DATE(YEAR(Model_Start_Date)+IF(Example_Reporting_Month&lt;MONTH(Model_Start_Date),1,0),Example_Reporting_Month+1,1)-1,"dd-Mmm-yy")</f>
        <v>e.g. 31-Dec-22</v>
      </c>
    </row>
    <row r="21" spans="4:9" x14ac:dyDescent="0.2">
      <c r="D21" t="s">
        <v>79</v>
      </c>
      <c r="H21" s="35">
        <f>MOD(Example_Reporting_Month-1,Periodicity)+1</f>
        <v>3</v>
      </c>
    </row>
  </sheetData>
  <mergeCells count="1">
    <mergeCell ref="A3:E3"/>
  </mergeCells>
  <conditionalFormatting sqref="F4">
    <cfRule type="cellIs" dxfId="16" priority="1" operator="notEqual">
      <formula>0</formula>
    </cfRule>
  </conditionalFormatting>
  <dataValidations count="1">
    <dataValidation type="list" allowBlank="1" showInputMessage="1" showErrorMessage="1" sqref="H17" xr:uid="{00000000-0002-0000-0400-000000000000}">
      <formula1>"1,2,3,4,6,12"</formula1>
    </dataValidation>
  </dataValidations>
  <hyperlinks>
    <hyperlink ref="F4" location="Overall_Error_Check" tooltip="Go to Overall Error Check" display="Overall_Error_Check" xr:uid="{00000000-0004-0000-0400-000000000000}"/>
    <hyperlink ref="A3:E3" location="HL_Navigator" tooltip="Go to Navigator (Table of Contents)" display="Navigator" xr:uid="{00000000-0004-0000-0400-000001000000}"/>
    <hyperlink ref="A3" location="HL_Navigator" display="Navigator" xr:uid="{00000000-0004-0000-0400-000002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378D9-49CF-425B-9801-A5FC381D3407}">
  <sheetPr codeName="Sheet7"/>
  <dimension ref="A1:Z77"/>
  <sheetViews>
    <sheetView showGridLines="0" zoomScale="96" zoomScaleNormal="96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3" width="3.7109375" customWidth="1"/>
    <col min="4" max="4" width="14.42578125" customWidth="1"/>
    <col min="5" max="5" width="15.28515625" bestFit="1" customWidth="1"/>
    <col min="6" max="6" width="12.28515625" bestFit="1" customWidth="1"/>
    <col min="7" max="7" width="12.85546875" customWidth="1"/>
    <col min="8" max="8" width="25" bestFit="1" customWidth="1"/>
    <col min="9" max="9" width="12.85546875" customWidth="1"/>
    <col min="10" max="10" width="2.85546875" customWidth="1"/>
    <col min="11" max="11" width="3.28515625" customWidth="1"/>
    <col min="12" max="16" width="14.28515625" customWidth="1"/>
    <col min="19" max="23" width="14.28515625" customWidth="1"/>
  </cols>
  <sheetData>
    <row r="1" spans="1:26" ht="20.25" x14ac:dyDescent="0.3">
      <c r="A1" s="43" t="str">
        <f ca="1">IF(ISERROR(RIGHT(CELL("filename",A1),LEN(CELL("filename",A1))-FIND("]",CELL("filename",A1)))),
"",
RIGHT(CELL("filename",A1),LEN(CELL("filename",A1))-FIND("]",CELL("filename",A1))))</f>
        <v>Risk Bubble Chart</v>
      </c>
      <c r="K1" s="11"/>
    </row>
    <row r="2" spans="1:26" ht="18" x14ac:dyDescent="0.25">
      <c r="A2" s="44" t="str">
        <f ca="1">Model_Name</f>
        <v>SP Risk Bubble Chart.xlsx</v>
      </c>
    </row>
    <row r="3" spans="1:26" x14ac:dyDescent="0.2">
      <c r="A3" s="66" t="s">
        <v>1</v>
      </c>
      <c r="B3" s="66"/>
      <c r="C3" s="66"/>
      <c r="D3" s="66"/>
      <c r="E3" s="66"/>
    </row>
    <row r="4" spans="1:26" ht="14.25" x14ac:dyDescent="0.2">
      <c r="B4" t="s">
        <v>2</v>
      </c>
      <c r="F4" s="1">
        <f>Overall_Error_Check</f>
        <v>0</v>
      </c>
    </row>
    <row r="5" spans="1:26" x14ac:dyDescent="0.2">
      <c r="A5" s="11"/>
    </row>
    <row r="6" spans="1:26" ht="16.5" thickBot="1" x14ac:dyDescent="0.3">
      <c r="B6" s="45">
        <f>MAX($B$5:$B5)+1</f>
        <v>1</v>
      </c>
      <c r="C6" s="2" t="str">
        <f ca="1">A1</f>
        <v>Risk Bubble Chart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2.75" thickTop="1" x14ac:dyDescent="0.2"/>
    <row r="8" spans="1:26" ht="16.5" x14ac:dyDescent="0.25">
      <c r="C8" s="3" t="s">
        <v>82</v>
      </c>
    </row>
    <row r="10" spans="1:26" x14ac:dyDescent="0.2">
      <c r="D10" s="62" t="s">
        <v>119</v>
      </c>
      <c r="E10" s="62" t="s">
        <v>83</v>
      </c>
      <c r="F10" s="63" t="s">
        <v>84</v>
      </c>
      <c r="G10" s="63" t="s">
        <v>85</v>
      </c>
      <c r="H10" s="63" t="s">
        <v>86</v>
      </c>
      <c r="I10" s="64" t="s">
        <v>87</v>
      </c>
    </row>
    <row r="11" spans="1:26" x14ac:dyDescent="0.2">
      <c r="D11" s="13" t="s">
        <v>88</v>
      </c>
      <c r="E11" s="20" t="s">
        <v>89</v>
      </c>
      <c r="F11" s="20" t="s">
        <v>89</v>
      </c>
      <c r="G11" s="20" t="s">
        <v>89</v>
      </c>
      <c r="H11" s="20" t="s">
        <v>90</v>
      </c>
      <c r="I11" s="20" t="s">
        <v>90</v>
      </c>
    </row>
    <row r="12" spans="1:26" x14ac:dyDescent="0.2">
      <c r="D12" s="13" t="s">
        <v>91</v>
      </c>
      <c r="E12" s="20" t="s">
        <v>89</v>
      </c>
      <c r="F12" s="20" t="s">
        <v>89</v>
      </c>
      <c r="G12" s="20" t="s">
        <v>90</v>
      </c>
      <c r="H12" s="20" t="s">
        <v>90</v>
      </c>
      <c r="I12" s="20" t="s">
        <v>92</v>
      </c>
    </row>
    <row r="13" spans="1:26" x14ac:dyDescent="0.2">
      <c r="D13" s="13" t="s">
        <v>93</v>
      </c>
      <c r="E13" s="20" t="s">
        <v>89</v>
      </c>
      <c r="F13" s="20" t="s">
        <v>89</v>
      </c>
      <c r="G13" s="20" t="s">
        <v>90</v>
      </c>
      <c r="H13" s="20" t="s">
        <v>92</v>
      </c>
      <c r="I13" s="20" t="s">
        <v>92</v>
      </c>
    </row>
    <row r="14" spans="1:26" x14ac:dyDescent="0.2">
      <c r="D14" s="13" t="s">
        <v>94</v>
      </c>
      <c r="E14" s="20" t="s">
        <v>90</v>
      </c>
      <c r="F14" s="20" t="s">
        <v>90</v>
      </c>
      <c r="G14" s="20" t="s">
        <v>92</v>
      </c>
      <c r="H14" s="20" t="s">
        <v>92</v>
      </c>
      <c r="I14" s="20" t="s">
        <v>95</v>
      </c>
    </row>
    <row r="15" spans="1:26" x14ac:dyDescent="0.2">
      <c r="D15" s="13" t="s">
        <v>96</v>
      </c>
      <c r="E15" s="20" t="s">
        <v>90</v>
      </c>
      <c r="F15" s="20" t="s">
        <v>92</v>
      </c>
      <c r="G15" s="20" t="s">
        <v>92</v>
      </c>
      <c r="H15" s="20" t="s">
        <v>95</v>
      </c>
      <c r="I15" s="20" t="s">
        <v>95</v>
      </c>
    </row>
    <row r="18" spans="3:6" ht="16.5" x14ac:dyDescent="0.25">
      <c r="C18" s="3" t="s">
        <v>97</v>
      </c>
    </row>
    <row r="19" spans="3:6" x14ac:dyDescent="0.2">
      <c r="F19" s="38"/>
    </row>
    <row r="20" spans="3:6" x14ac:dyDescent="0.2">
      <c r="D20" s="55" t="s">
        <v>97</v>
      </c>
      <c r="E20" s="13" t="s">
        <v>120</v>
      </c>
      <c r="F20" s="54" t="s">
        <v>98</v>
      </c>
    </row>
    <row r="21" spans="3:6" x14ac:dyDescent="0.2">
      <c r="D21" s="53" t="s">
        <v>99</v>
      </c>
      <c r="E21" s="20">
        <v>5</v>
      </c>
      <c r="F21" s="20">
        <v>3</v>
      </c>
    </row>
    <row r="22" spans="3:6" x14ac:dyDescent="0.2">
      <c r="D22" s="53" t="s">
        <v>100</v>
      </c>
      <c r="E22" s="20">
        <v>4</v>
      </c>
      <c r="F22" s="20">
        <v>1</v>
      </c>
    </row>
    <row r="23" spans="3:6" x14ac:dyDescent="0.2">
      <c r="D23" s="53" t="s">
        <v>110</v>
      </c>
      <c r="E23" s="20">
        <v>4</v>
      </c>
      <c r="F23" s="20">
        <v>3</v>
      </c>
    </row>
    <row r="24" spans="3:6" x14ac:dyDescent="0.2">
      <c r="D24" s="53" t="s">
        <v>112</v>
      </c>
      <c r="E24" s="20">
        <v>5</v>
      </c>
      <c r="F24" s="20">
        <v>3</v>
      </c>
    </row>
    <row r="25" spans="3:6" x14ac:dyDescent="0.2">
      <c r="D25" s="53" t="s">
        <v>101</v>
      </c>
      <c r="E25" s="20">
        <v>3</v>
      </c>
      <c r="F25" s="20">
        <v>2</v>
      </c>
    </row>
    <row r="26" spans="3:6" x14ac:dyDescent="0.2">
      <c r="D26" s="53" t="s">
        <v>109</v>
      </c>
      <c r="E26" s="20">
        <v>1</v>
      </c>
      <c r="F26" s="20">
        <v>5</v>
      </c>
    </row>
    <row r="27" spans="3:6" x14ac:dyDescent="0.2">
      <c r="D27" s="53" t="s">
        <v>111</v>
      </c>
      <c r="E27" s="20">
        <v>4</v>
      </c>
      <c r="F27" s="20">
        <v>4</v>
      </c>
    </row>
    <row r="28" spans="3:6" x14ac:dyDescent="0.2">
      <c r="D28" s="53" t="s">
        <v>113</v>
      </c>
      <c r="E28" s="20">
        <v>2</v>
      </c>
      <c r="F28" s="20">
        <v>3</v>
      </c>
    </row>
    <row r="29" spans="3:6" x14ac:dyDescent="0.2">
      <c r="D29" s="53" t="s">
        <v>114</v>
      </c>
      <c r="E29" s="20">
        <v>2</v>
      </c>
      <c r="F29" s="20">
        <v>1</v>
      </c>
    </row>
    <row r="30" spans="3:6" x14ac:dyDescent="0.2">
      <c r="D30" s="57" t="s">
        <v>115</v>
      </c>
      <c r="E30" s="58">
        <v>5</v>
      </c>
      <c r="F30" s="58">
        <v>3</v>
      </c>
    </row>
    <row r="31" spans="3:6" x14ac:dyDescent="0.2">
      <c r="D31" s="57" t="s">
        <v>116</v>
      </c>
      <c r="E31" s="58">
        <v>2</v>
      </c>
      <c r="F31" s="58">
        <v>1</v>
      </c>
    </row>
    <row r="34" spans="3:8" ht="16.5" x14ac:dyDescent="0.25">
      <c r="C34" s="3" t="s">
        <v>117</v>
      </c>
    </row>
    <row r="36" spans="3:8" x14ac:dyDescent="0.2">
      <c r="D36" t="s">
        <v>102</v>
      </c>
      <c r="F36">
        <v>5</v>
      </c>
    </row>
    <row r="37" spans="3:8" x14ac:dyDescent="0.2">
      <c r="D37" t="s">
        <v>103</v>
      </c>
      <c r="F37">
        <v>5</v>
      </c>
    </row>
    <row r="38" spans="3:8" x14ac:dyDescent="0.2">
      <c r="D38" t="s">
        <v>104</v>
      </c>
      <c r="F38">
        <f>F36*F37</f>
        <v>25</v>
      </c>
    </row>
    <row r="41" spans="3:8" x14ac:dyDescent="0.2">
      <c r="D41" s="13" t="s">
        <v>105</v>
      </c>
      <c r="E41" s="13" t="s">
        <v>106</v>
      </c>
      <c r="F41" s="13" t="s">
        <v>107</v>
      </c>
      <c r="G41" s="13" t="s">
        <v>121</v>
      </c>
      <c r="H41" s="13" t="s">
        <v>108</v>
      </c>
    </row>
    <row r="42" spans="3:8" x14ac:dyDescent="0.2">
      <c r="D42" s="61">
        <f>N(D41)+1</f>
        <v>1</v>
      </c>
      <c r="E42" s="61">
        <f>IF(MOD(Chart_Data[[#This Row],[Case Number]],COUNTA(LU_Consequences))=0,COUNTA(LU_Consequences),MOD(Chart_Data[[#This Row],[Case Number]],COUNTA(LU_Consequences)))</f>
        <v>1</v>
      </c>
      <c r="F42" s="61">
        <f>ROUNDUP(Chart_Data[[#This Row],[Case Number]]/$F$37,0)</f>
        <v>1</v>
      </c>
      <c r="G42" s="61">
        <f>COUNTIFS(Risk_Category[Likelihood],Chart_Data[[#This Row],[Likelihood No.]],Risk_Category[Consequence],Chart_Data[[#This Row],[Consequence No.]])</f>
        <v>0</v>
      </c>
      <c r="H42" t="str" cm="1">
        <f t="array" ref="H42">_xlfn.TEXTJOIN(", ",,IF(Risk_Category[Likelihood]=Chart_Data[[#This Row],[Likelihood No.]],IF(Risk_Category[Consequence]=Chart_Data[[#This Row],[Consequence No.]],Risk_Category[Risk Category],""),""))</f>
        <v/>
      </c>
    </row>
    <row r="43" spans="3:8" x14ac:dyDescent="0.2">
      <c r="D43" s="61">
        <f t="shared" ref="D43:D66" si="0">N(D42)+1</f>
        <v>2</v>
      </c>
      <c r="E43" s="61">
        <f>IF(MOD(Chart_Data[[#This Row],[Case Number]],COUNTA(LU_Consequences))=0,COUNTA(LU_Consequences),MOD(Chart_Data[[#This Row],[Case Number]],COUNTA(LU_Consequences)))</f>
        <v>2</v>
      </c>
      <c r="F43" s="61">
        <f>ROUNDUP(Chart_Data[[#This Row],[Case Number]]/$F$37,0)</f>
        <v>1</v>
      </c>
      <c r="G43" s="61">
        <f>COUNTIFS(Risk_Category[Likelihood],Chart_Data[[#This Row],[Likelihood No.]],Risk_Category[Consequence],Chart_Data[[#This Row],[Consequence No.]])</f>
        <v>0</v>
      </c>
      <c r="H43" t="str" cm="1">
        <f t="array" ref="H43">_xlfn.TEXTJOIN(", ",,IF(Risk_Category[Likelihood]=Chart_Data[[#This Row],[Likelihood No.]],IF(Risk_Category[Consequence]=Chart_Data[[#This Row],[Consequence No.]],Risk_Category[Risk Category],""),""))</f>
        <v/>
      </c>
    </row>
    <row r="44" spans="3:8" x14ac:dyDescent="0.2">
      <c r="D44" s="61">
        <f t="shared" si="0"/>
        <v>3</v>
      </c>
      <c r="E44" s="61">
        <f>IF(MOD(Chart_Data[[#This Row],[Case Number]],COUNTA(LU_Consequences))=0,COUNTA(LU_Consequences),MOD(Chart_Data[[#This Row],[Case Number]],COUNTA(LU_Consequences)))</f>
        <v>3</v>
      </c>
      <c r="F44" s="61">
        <f>ROUNDUP(Chart_Data[[#This Row],[Case Number]]/$F$37,0)</f>
        <v>1</v>
      </c>
      <c r="G44" s="61">
        <f>COUNTIFS(Risk_Category[Likelihood],Chart_Data[[#This Row],[Likelihood No.]],Risk_Category[Consequence],Chart_Data[[#This Row],[Consequence No.]])</f>
        <v>0</v>
      </c>
      <c r="H44" t="str" cm="1">
        <f t="array" ref="H44">_xlfn.TEXTJOIN(", ",,IF(Risk_Category[Likelihood]=Chart_Data[[#This Row],[Likelihood No.]],IF(Risk_Category[Consequence]=Chart_Data[[#This Row],[Consequence No.]],Risk_Category[Risk Category],""),""))</f>
        <v/>
      </c>
    </row>
    <row r="45" spans="3:8" x14ac:dyDescent="0.2">
      <c r="D45" s="61">
        <f t="shared" si="0"/>
        <v>4</v>
      </c>
      <c r="E45" s="61">
        <f>IF(MOD(Chart_Data[[#This Row],[Case Number]],COUNTA(LU_Consequences))=0,COUNTA(LU_Consequences),MOD(Chart_Data[[#This Row],[Case Number]],COUNTA(LU_Consequences)))</f>
        <v>4</v>
      </c>
      <c r="F45" s="61">
        <f>ROUNDUP(Chart_Data[[#This Row],[Case Number]]/$F$37,0)</f>
        <v>1</v>
      </c>
      <c r="G45" s="61">
        <f>COUNTIFS(Risk_Category[Likelihood],Chart_Data[[#This Row],[Likelihood No.]],Risk_Category[Consequence],Chart_Data[[#This Row],[Consequence No.]])</f>
        <v>0</v>
      </c>
      <c r="H45" t="str" cm="1">
        <f t="array" ref="H45">_xlfn.TEXTJOIN(", ",,IF(Risk_Category[Likelihood]=Chart_Data[[#This Row],[Likelihood No.]],IF(Risk_Category[Consequence]=Chart_Data[[#This Row],[Consequence No.]],Risk_Category[Risk Category],""),""))</f>
        <v/>
      </c>
    </row>
    <row r="46" spans="3:8" x14ac:dyDescent="0.2">
      <c r="D46" s="61">
        <f t="shared" si="0"/>
        <v>5</v>
      </c>
      <c r="E46" s="61">
        <f>IF(MOD(Chart_Data[[#This Row],[Case Number]],COUNTA(LU_Consequences))=0,COUNTA(LU_Consequences),MOD(Chart_Data[[#This Row],[Case Number]],COUNTA(LU_Consequences)))</f>
        <v>5</v>
      </c>
      <c r="F46" s="61">
        <f>ROUNDUP(Chart_Data[[#This Row],[Case Number]]/$F$37,0)</f>
        <v>1</v>
      </c>
      <c r="G46" s="61">
        <f>COUNTIFS(Risk_Category[Likelihood],Chart_Data[[#This Row],[Likelihood No.]],Risk_Category[Consequence],Chart_Data[[#This Row],[Consequence No.]])</f>
        <v>1</v>
      </c>
      <c r="H46" t="str" cm="1">
        <f t="array" ref="H46">_xlfn.TEXTJOIN(", ",,IF(Risk_Category[Likelihood]=Chart_Data[[#This Row],[Likelihood No.]],IF(Risk_Category[Consequence]=Chart_Data[[#This Row],[Consequence No.]],Risk_Category[Risk Category],""),""))</f>
        <v>Culture</v>
      </c>
    </row>
    <row r="47" spans="3:8" x14ac:dyDescent="0.2">
      <c r="D47" s="61">
        <f t="shared" si="0"/>
        <v>6</v>
      </c>
      <c r="E47" s="61">
        <f>IF(MOD(Chart_Data[[#This Row],[Case Number]],COUNTA(LU_Consequences))=0,COUNTA(LU_Consequences),MOD(Chart_Data[[#This Row],[Case Number]],COUNTA(LU_Consequences)))</f>
        <v>1</v>
      </c>
      <c r="F47" s="61">
        <f>ROUNDUP(Chart_Data[[#This Row],[Case Number]]/$F$37,0)</f>
        <v>2</v>
      </c>
      <c r="G47" s="61">
        <f>COUNTIFS(Risk_Category[Likelihood],Chart_Data[[#This Row],[Likelihood No.]],Risk_Category[Consequence],Chart_Data[[#This Row],[Consequence No.]])</f>
        <v>2</v>
      </c>
      <c r="H47" t="str" cm="1">
        <f t="array" ref="H47">_xlfn.TEXTJOIN(", ",,IF(Risk_Category[Likelihood]=Chart_Data[[#This Row],[Likelihood No.]],IF(Risk_Category[Consequence]=Chart_Data[[#This Row],[Consequence No.]],Risk_Category[Risk Category],""),""))</f>
        <v>Research, Festival</v>
      </c>
    </row>
    <row r="48" spans="3:8" x14ac:dyDescent="0.2">
      <c r="D48" s="61">
        <f t="shared" si="0"/>
        <v>7</v>
      </c>
      <c r="E48" s="61">
        <f>IF(MOD(Chart_Data[[#This Row],[Case Number]],COUNTA(LU_Consequences))=0,COUNTA(LU_Consequences),MOD(Chart_Data[[#This Row],[Case Number]],COUNTA(LU_Consequences)))</f>
        <v>2</v>
      </c>
      <c r="F48" s="61">
        <f>ROUNDUP(Chart_Data[[#This Row],[Case Number]]/$F$37,0)</f>
        <v>2</v>
      </c>
      <c r="G48" s="61">
        <f>COUNTIFS(Risk_Category[Likelihood],Chart_Data[[#This Row],[Likelihood No.]],Risk_Category[Consequence],Chart_Data[[#This Row],[Consequence No.]])</f>
        <v>0</v>
      </c>
      <c r="H48" t="str" cm="1">
        <f t="array" ref="H48">_xlfn.TEXTJOIN(", ",,IF(Risk_Category[Likelihood]=Chart_Data[[#This Row],[Likelihood No.]],IF(Risk_Category[Consequence]=Chart_Data[[#This Row],[Consequence No.]],Risk_Category[Risk Category],""),""))</f>
        <v/>
      </c>
    </row>
    <row r="49" spans="4:8" x14ac:dyDescent="0.2">
      <c r="D49" s="61">
        <f t="shared" si="0"/>
        <v>8</v>
      </c>
      <c r="E49" s="61">
        <f>IF(MOD(Chart_Data[[#This Row],[Case Number]],COUNTA(LU_Consequences))=0,COUNTA(LU_Consequences),MOD(Chart_Data[[#This Row],[Case Number]],COUNTA(LU_Consequences)))</f>
        <v>3</v>
      </c>
      <c r="F49" s="61">
        <f>ROUNDUP(Chart_Data[[#This Row],[Case Number]]/$F$37,0)</f>
        <v>2</v>
      </c>
      <c r="G49" s="61">
        <f>COUNTIFS(Risk_Category[Likelihood],Chart_Data[[#This Row],[Likelihood No.]],Risk_Category[Consequence],Chart_Data[[#This Row],[Consequence No.]])</f>
        <v>1</v>
      </c>
      <c r="H49" t="str" cm="1">
        <f t="array" ref="H49">_xlfn.TEXTJOIN(", ",,IF(Risk_Category[Likelihood]=Chart_Data[[#This Row],[Likelihood No.]],IF(Risk_Category[Consequence]=Chart_Data[[#This Row],[Consequence No.]],Risk_Category[Risk Category],""),""))</f>
        <v>Manufacturing</v>
      </c>
    </row>
    <row r="50" spans="4:8" x14ac:dyDescent="0.2">
      <c r="D50" s="61">
        <f t="shared" si="0"/>
        <v>9</v>
      </c>
      <c r="E50" s="61">
        <f>IF(MOD(Chart_Data[[#This Row],[Case Number]],COUNTA(LU_Consequences))=0,COUNTA(LU_Consequences),MOD(Chart_Data[[#This Row],[Case Number]],COUNTA(LU_Consequences)))</f>
        <v>4</v>
      </c>
      <c r="F50" s="61">
        <f>ROUNDUP(Chart_Data[[#This Row],[Case Number]]/$F$37,0)</f>
        <v>2</v>
      </c>
      <c r="G50" s="61">
        <f>COUNTIFS(Risk_Category[Likelihood],Chart_Data[[#This Row],[Likelihood No.]],Risk_Category[Consequence],Chart_Data[[#This Row],[Consequence No.]])</f>
        <v>0</v>
      </c>
      <c r="H50" t="str" cm="1">
        <f t="array" ref="H50">_xlfn.TEXTJOIN(", ",,IF(Risk_Category[Likelihood]=Chart_Data[[#This Row],[Likelihood No.]],IF(Risk_Category[Consequence]=Chart_Data[[#This Row],[Consequence No.]],Risk_Category[Risk Category],""),""))</f>
        <v/>
      </c>
    </row>
    <row r="51" spans="4:8" x14ac:dyDescent="0.2">
      <c r="D51" s="61">
        <f t="shared" si="0"/>
        <v>10</v>
      </c>
      <c r="E51" s="61">
        <f>IF(MOD(Chart_Data[[#This Row],[Case Number]],COUNTA(LU_Consequences))=0,COUNTA(LU_Consequences),MOD(Chart_Data[[#This Row],[Case Number]],COUNTA(LU_Consequences)))</f>
        <v>5</v>
      </c>
      <c r="F51" s="61">
        <f>ROUNDUP(Chart_Data[[#This Row],[Case Number]]/$F$37,0)</f>
        <v>2</v>
      </c>
      <c r="G51" s="61">
        <f>COUNTIFS(Risk_Category[Likelihood],Chart_Data[[#This Row],[Likelihood No.]],Risk_Category[Consequence],Chart_Data[[#This Row],[Consequence No.]])</f>
        <v>0</v>
      </c>
      <c r="H51" t="str" cm="1">
        <f t="array" ref="H51">_xlfn.TEXTJOIN(", ",,IF(Risk_Category[Likelihood]=Chart_Data[[#This Row],[Likelihood No.]],IF(Risk_Category[Consequence]=Chart_Data[[#This Row],[Consequence No.]],Risk_Category[Risk Category],""),""))</f>
        <v/>
      </c>
    </row>
    <row r="52" spans="4:8" x14ac:dyDescent="0.2">
      <c r="D52" s="61">
        <f t="shared" si="0"/>
        <v>11</v>
      </c>
      <c r="E52" s="61">
        <f>IF(MOD(Chart_Data[[#This Row],[Case Number]],COUNTA(LU_Consequences))=0,COUNTA(LU_Consequences),MOD(Chart_Data[[#This Row],[Case Number]],COUNTA(LU_Consequences)))</f>
        <v>1</v>
      </c>
      <c r="F52" s="61">
        <f>ROUNDUP(Chart_Data[[#This Row],[Case Number]]/$F$37,0)</f>
        <v>3</v>
      </c>
      <c r="G52" s="61">
        <f>COUNTIFS(Risk_Category[Likelihood],Chart_Data[[#This Row],[Likelihood No.]],Risk_Category[Consequence],Chart_Data[[#This Row],[Consequence No.]])</f>
        <v>0</v>
      </c>
      <c r="H52" t="str" cm="1">
        <f t="array" ref="H52">_xlfn.TEXTJOIN(", ",,IF(Risk_Category[Likelihood]=Chart_Data[[#This Row],[Likelihood No.]],IF(Risk_Category[Consequence]=Chart_Data[[#This Row],[Consequence No.]],Risk_Category[Risk Category],""),""))</f>
        <v/>
      </c>
    </row>
    <row r="53" spans="4:8" x14ac:dyDescent="0.2">
      <c r="D53" s="61">
        <f t="shared" si="0"/>
        <v>12</v>
      </c>
      <c r="E53" s="61">
        <f>IF(MOD(Chart_Data[[#This Row],[Case Number]],COUNTA(LU_Consequences))=0,COUNTA(LU_Consequences),MOD(Chart_Data[[#This Row],[Case Number]],COUNTA(LU_Consequences)))</f>
        <v>2</v>
      </c>
      <c r="F53" s="61">
        <f>ROUNDUP(Chart_Data[[#This Row],[Case Number]]/$F$37,0)</f>
        <v>3</v>
      </c>
      <c r="G53" s="61">
        <f>COUNTIFS(Risk_Category[Likelihood],Chart_Data[[#This Row],[Likelihood No.]],Risk_Category[Consequence],Chart_Data[[#This Row],[Consequence No.]])</f>
        <v>1</v>
      </c>
      <c r="H53" t="str" cm="1">
        <f t="array" ref="H53">_xlfn.TEXTJOIN(", ",,IF(Risk_Category[Likelihood]=Chart_Data[[#This Row],[Likelihood No.]],IF(Risk_Category[Consequence]=Chart_Data[[#This Row],[Consequence No.]],Risk_Category[Risk Category],""),""))</f>
        <v>Strategic</v>
      </c>
    </row>
    <row r="54" spans="4:8" x14ac:dyDescent="0.2">
      <c r="D54" s="61">
        <f t="shared" si="0"/>
        <v>13</v>
      </c>
      <c r="E54" s="61">
        <f>IF(MOD(Chart_Data[[#This Row],[Case Number]],COUNTA(LU_Consequences))=0,COUNTA(LU_Consequences),MOD(Chart_Data[[#This Row],[Case Number]],COUNTA(LU_Consequences)))</f>
        <v>3</v>
      </c>
      <c r="F54" s="61">
        <f>ROUNDUP(Chart_Data[[#This Row],[Case Number]]/$F$37,0)</f>
        <v>3</v>
      </c>
      <c r="G54" s="61">
        <f>COUNTIFS(Risk_Category[Likelihood],Chart_Data[[#This Row],[Likelihood No.]],Risk_Category[Consequence],Chart_Data[[#This Row],[Consequence No.]])</f>
        <v>0</v>
      </c>
      <c r="H54" t="str" cm="1">
        <f t="array" ref="H54">_xlfn.TEXTJOIN(", ",,IF(Risk_Category[Likelihood]=Chart_Data[[#This Row],[Likelihood No.]],IF(Risk_Category[Consequence]=Chart_Data[[#This Row],[Consequence No.]],Risk_Category[Risk Category],""),""))</f>
        <v/>
      </c>
    </row>
    <row r="55" spans="4:8" x14ac:dyDescent="0.2">
      <c r="D55" s="61">
        <f t="shared" si="0"/>
        <v>14</v>
      </c>
      <c r="E55" s="61">
        <f>IF(MOD(Chart_Data[[#This Row],[Case Number]],COUNTA(LU_Consequences))=0,COUNTA(LU_Consequences),MOD(Chart_Data[[#This Row],[Case Number]],COUNTA(LU_Consequences)))</f>
        <v>4</v>
      </c>
      <c r="F55" s="61">
        <f>ROUNDUP(Chart_Data[[#This Row],[Case Number]]/$F$37,0)</f>
        <v>3</v>
      </c>
      <c r="G55" s="61">
        <f>COUNTIFS(Risk_Category[Likelihood],Chart_Data[[#This Row],[Likelihood No.]],Risk_Category[Consequence],Chart_Data[[#This Row],[Consequence No.]])</f>
        <v>0</v>
      </c>
      <c r="H55" t="str" cm="1">
        <f t="array" ref="H55">_xlfn.TEXTJOIN(", ",,IF(Risk_Category[Likelihood]=Chart_Data[[#This Row],[Likelihood No.]],IF(Risk_Category[Consequence]=Chart_Data[[#This Row],[Consequence No.]],Risk_Category[Risk Category],""),""))</f>
        <v/>
      </c>
    </row>
    <row r="56" spans="4:8" x14ac:dyDescent="0.2">
      <c r="D56" s="61">
        <f t="shared" si="0"/>
        <v>15</v>
      </c>
      <c r="E56" s="61">
        <f>IF(MOD(Chart_Data[[#This Row],[Case Number]],COUNTA(LU_Consequences))=0,COUNTA(LU_Consequences),MOD(Chart_Data[[#This Row],[Case Number]],COUNTA(LU_Consequences)))</f>
        <v>5</v>
      </c>
      <c r="F56" s="61">
        <f>ROUNDUP(Chart_Data[[#This Row],[Case Number]]/$F$37,0)</f>
        <v>3</v>
      </c>
      <c r="G56" s="61">
        <f>COUNTIFS(Risk_Category[Likelihood],Chart_Data[[#This Row],[Likelihood No.]],Risk_Category[Consequence],Chart_Data[[#This Row],[Consequence No.]])</f>
        <v>0</v>
      </c>
      <c r="H56" t="str" cm="1">
        <f t="array" ref="H56">_xlfn.TEXTJOIN(", ",,IF(Risk_Category[Likelihood]=Chart_Data[[#This Row],[Likelihood No.]],IF(Risk_Category[Consequence]=Chart_Data[[#This Row],[Consequence No.]],Risk_Category[Risk Category],""),""))</f>
        <v/>
      </c>
    </row>
    <row r="57" spans="4:8" x14ac:dyDescent="0.2">
      <c r="D57" s="61">
        <f t="shared" si="0"/>
        <v>16</v>
      </c>
      <c r="E57" s="61">
        <f>IF(MOD(Chart_Data[[#This Row],[Case Number]],COUNTA(LU_Consequences))=0,COUNTA(LU_Consequences),MOD(Chart_Data[[#This Row],[Case Number]],COUNTA(LU_Consequences)))</f>
        <v>1</v>
      </c>
      <c r="F57" s="61">
        <f>ROUNDUP(Chart_Data[[#This Row],[Case Number]]/$F$37,0)</f>
        <v>4</v>
      </c>
      <c r="G57" s="61">
        <f>COUNTIFS(Risk_Category[Likelihood],Chart_Data[[#This Row],[Likelihood No.]],Risk_Category[Consequence],Chart_Data[[#This Row],[Consequence No.]])</f>
        <v>1</v>
      </c>
      <c r="H57" t="str" cm="1">
        <f t="array" ref="H57">_xlfn.TEXTJOIN(", ",,IF(Risk_Category[Likelihood]=Chart_Data[[#This Row],[Likelihood No.]],IF(Risk_Category[Consequence]=Chart_Data[[#This Row],[Consequence No.]],Risk_Category[Risk Category],""),""))</f>
        <v>Operational</v>
      </c>
    </row>
    <row r="58" spans="4:8" x14ac:dyDescent="0.2">
      <c r="D58" s="61">
        <f t="shared" si="0"/>
        <v>17</v>
      </c>
      <c r="E58" s="61">
        <f>IF(MOD(Chart_Data[[#This Row],[Case Number]],COUNTA(LU_Consequences))=0,COUNTA(LU_Consequences),MOD(Chart_Data[[#This Row],[Case Number]],COUNTA(LU_Consequences)))</f>
        <v>2</v>
      </c>
      <c r="F58" s="61">
        <f>ROUNDUP(Chart_Data[[#This Row],[Case Number]]/$F$37,0)</f>
        <v>4</v>
      </c>
      <c r="G58" s="61">
        <f>COUNTIFS(Risk_Category[Likelihood],Chart_Data[[#This Row],[Likelihood No.]],Risk_Category[Consequence],Chart_Data[[#This Row],[Consequence No.]])</f>
        <v>0</v>
      </c>
      <c r="H58" t="str" cm="1">
        <f t="array" ref="H58">_xlfn.TEXTJOIN(", ",,IF(Risk_Category[Likelihood]=Chart_Data[[#This Row],[Likelihood No.]],IF(Risk_Category[Consequence]=Chart_Data[[#This Row],[Consequence No.]],Risk_Category[Risk Category],""),""))</f>
        <v/>
      </c>
    </row>
    <row r="59" spans="4:8" x14ac:dyDescent="0.2">
      <c r="D59" s="61">
        <f t="shared" si="0"/>
        <v>18</v>
      </c>
      <c r="E59" s="61">
        <f>IF(MOD(Chart_Data[[#This Row],[Case Number]],COUNTA(LU_Consequences))=0,COUNTA(LU_Consequences),MOD(Chart_Data[[#This Row],[Case Number]],COUNTA(LU_Consequences)))</f>
        <v>3</v>
      </c>
      <c r="F59" s="61">
        <f>ROUNDUP(Chart_Data[[#This Row],[Case Number]]/$F$37,0)</f>
        <v>4</v>
      </c>
      <c r="G59" s="61">
        <f>COUNTIFS(Risk_Category[Likelihood],Chart_Data[[#This Row],[Likelihood No.]],Risk_Category[Consequence],Chart_Data[[#This Row],[Consequence No.]])</f>
        <v>1</v>
      </c>
      <c r="H59" t="str" cm="1">
        <f t="array" ref="H59">_xlfn.TEXTJOIN(", ",,IF(Risk_Category[Likelihood]=Chart_Data[[#This Row],[Likelihood No.]],IF(Risk_Category[Consequence]=Chart_Data[[#This Row],[Consequence No.]],Risk_Category[Risk Category],""),""))</f>
        <v>People</v>
      </c>
    </row>
    <row r="60" spans="4:8" x14ac:dyDescent="0.2">
      <c r="D60" s="61">
        <f t="shared" si="0"/>
        <v>19</v>
      </c>
      <c r="E60" s="61">
        <f>IF(MOD(Chart_Data[[#This Row],[Case Number]],COUNTA(LU_Consequences))=0,COUNTA(LU_Consequences),MOD(Chart_Data[[#This Row],[Case Number]],COUNTA(LU_Consequences)))</f>
        <v>4</v>
      </c>
      <c r="F60" s="61">
        <f>ROUNDUP(Chart_Data[[#This Row],[Case Number]]/$F$37,0)</f>
        <v>4</v>
      </c>
      <c r="G60" s="61">
        <f>COUNTIFS(Risk_Category[Likelihood],Chart_Data[[#This Row],[Likelihood No.]],Risk_Category[Consequence],Chart_Data[[#This Row],[Consequence No.]])</f>
        <v>1</v>
      </c>
      <c r="H60" t="str" cm="1">
        <f t="array" ref="H60">_xlfn.TEXTJOIN(", ",,IF(Risk_Category[Likelihood]=Chart_Data[[#This Row],[Likelihood No.]],IF(Risk_Category[Consequence]=Chart_Data[[#This Row],[Consequence No.]],Risk_Category[Risk Category],""),""))</f>
        <v>Governance</v>
      </c>
    </row>
    <row r="61" spans="4:8" x14ac:dyDescent="0.2">
      <c r="D61" s="61">
        <f t="shared" si="0"/>
        <v>20</v>
      </c>
      <c r="E61" s="61">
        <f>IF(MOD(Chart_Data[[#This Row],[Case Number]],COUNTA(LU_Consequences))=0,COUNTA(LU_Consequences),MOD(Chart_Data[[#This Row],[Case Number]],COUNTA(LU_Consequences)))</f>
        <v>5</v>
      </c>
      <c r="F61" s="61">
        <f>ROUNDUP(Chart_Data[[#This Row],[Case Number]]/$F$37,0)</f>
        <v>4</v>
      </c>
      <c r="G61" s="61">
        <f>COUNTIFS(Risk_Category[Likelihood],Chart_Data[[#This Row],[Likelihood No.]],Risk_Category[Consequence],Chart_Data[[#This Row],[Consequence No.]])</f>
        <v>0</v>
      </c>
      <c r="H61" t="str" cm="1">
        <f t="array" ref="H61">_xlfn.TEXTJOIN(", ",,IF(Risk_Category[Likelihood]=Chart_Data[[#This Row],[Likelihood No.]],IF(Risk_Category[Consequence]=Chart_Data[[#This Row],[Consequence No.]],Risk_Category[Risk Category],""),""))</f>
        <v/>
      </c>
    </row>
    <row r="62" spans="4:8" x14ac:dyDescent="0.2">
      <c r="D62" s="61">
        <f t="shared" si="0"/>
        <v>21</v>
      </c>
      <c r="E62" s="61">
        <f>IF(MOD(Chart_Data[[#This Row],[Case Number]],COUNTA(LU_Consequences))=0,COUNTA(LU_Consequences),MOD(Chart_Data[[#This Row],[Case Number]],COUNTA(LU_Consequences)))</f>
        <v>1</v>
      </c>
      <c r="F62" s="61">
        <f>ROUNDUP(Chart_Data[[#This Row],[Case Number]]/$F$37,0)</f>
        <v>5</v>
      </c>
      <c r="G62" s="61">
        <f>COUNTIFS(Risk_Category[Likelihood],Chart_Data[[#This Row],[Likelihood No.]],Risk_Category[Consequence],Chart_Data[[#This Row],[Consequence No.]])</f>
        <v>0</v>
      </c>
      <c r="H62" t="str" cm="1">
        <f t="array" ref="H62">_xlfn.TEXTJOIN(", ",,IF(Risk_Category[Likelihood]=Chart_Data[[#This Row],[Likelihood No.]],IF(Risk_Category[Consequence]=Chart_Data[[#This Row],[Consequence No.]],Risk_Category[Risk Category],""),""))</f>
        <v/>
      </c>
    </row>
    <row r="63" spans="4:8" x14ac:dyDescent="0.2">
      <c r="D63" s="61">
        <f t="shared" si="0"/>
        <v>22</v>
      </c>
      <c r="E63" s="61">
        <f>IF(MOD(Chart_Data[[#This Row],[Case Number]],COUNTA(LU_Consequences))=0,COUNTA(LU_Consequences),MOD(Chart_Data[[#This Row],[Case Number]],COUNTA(LU_Consequences)))</f>
        <v>2</v>
      </c>
      <c r="F63" s="61">
        <f>ROUNDUP(Chart_Data[[#This Row],[Case Number]]/$F$37,0)</f>
        <v>5</v>
      </c>
      <c r="G63" s="61">
        <f>COUNTIFS(Risk_Category[Likelihood],Chart_Data[[#This Row],[Likelihood No.]],Risk_Category[Consequence],Chart_Data[[#This Row],[Consequence No.]])</f>
        <v>0</v>
      </c>
      <c r="H63" t="str" cm="1">
        <f t="array" ref="H63">_xlfn.TEXTJOIN(", ",,IF(Risk_Category[Likelihood]=Chart_Data[[#This Row],[Likelihood No.]],IF(Risk_Category[Consequence]=Chart_Data[[#This Row],[Consequence No.]],Risk_Category[Risk Category],""),""))</f>
        <v/>
      </c>
    </row>
    <row r="64" spans="4:8" x14ac:dyDescent="0.2">
      <c r="D64" s="61">
        <f t="shared" si="0"/>
        <v>23</v>
      </c>
      <c r="E64" s="61">
        <f>IF(MOD(Chart_Data[[#This Row],[Case Number]],COUNTA(LU_Consequences))=0,COUNTA(LU_Consequences),MOD(Chart_Data[[#This Row],[Case Number]],COUNTA(LU_Consequences)))</f>
        <v>3</v>
      </c>
      <c r="F64" s="61">
        <f>ROUNDUP(Chart_Data[[#This Row],[Case Number]]/$F$37,0)</f>
        <v>5</v>
      </c>
      <c r="G64" s="61">
        <f>COUNTIFS(Risk_Category[Likelihood],Chart_Data[[#This Row],[Likelihood No.]],Risk_Category[Consequence],Chart_Data[[#This Row],[Consequence No.]])</f>
        <v>3</v>
      </c>
      <c r="H64" t="str" cm="1">
        <f t="array" ref="H64">_xlfn.TEXTJOIN(", ",,IF(Risk_Category[Likelihood]=Chart_Data[[#This Row],[Likelihood No.]],IF(Risk_Category[Consequence]=Chart_Data[[#This Row],[Consequence No.]],Risk_Category[Risk Category],""),""))</f>
        <v>Financial, Regulatory, External</v>
      </c>
    </row>
    <row r="65" spans="3:16" x14ac:dyDescent="0.2">
      <c r="D65" s="61">
        <f t="shared" si="0"/>
        <v>24</v>
      </c>
      <c r="E65" s="61">
        <f>IF(MOD(Chart_Data[[#This Row],[Case Number]],COUNTA(LU_Consequences))=0,COUNTA(LU_Consequences),MOD(Chart_Data[[#This Row],[Case Number]],COUNTA(LU_Consequences)))</f>
        <v>4</v>
      </c>
      <c r="F65" s="61">
        <f>ROUNDUP(Chart_Data[[#This Row],[Case Number]]/$F$37,0)</f>
        <v>5</v>
      </c>
      <c r="G65" s="61">
        <f>COUNTIFS(Risk_Category[Likelihood],Chart_Data[[#This Row],[Likelihood No.]],Risk_Category[Consequence],Chart_Data[[#This Row],[Consequence No.]])</f>
        <v>0</v>
      </c>
      <c r="H65" t="str" cm="1">
        <f t="array" ref="H65">_xlfn.TEXTJOIN(", ",,IF(Risk_Category[Likelihood]=Chart_Data[[#This Row],[Likelihood No.]],IF(Risk_Category[Consequence]=Chart_Data[[#This Row],[Consequence No.]],Risk_Category[Risk Category],""),""))</f>
        <v/>
      </c>
    </row>
    <row r="66" spans="3:16" x14ac:dyDescent="0.2">
      <c r="D66" s="61">
        <f t="shared" si="0"/>
        <v>25</v>
      </c>
      <c r="E66" s="61">
        <f>IF(MOD(Chart_Data[[#This Row],[Case Number]],COUNTA(LU_Consequences))=0,COUNTA(LU_Consequences),MOD(Chart_Data[[#This Row],[Case Number]],COUNTA(LU_Consequences)))</f>
        <v>5</v>
      </c>
      <c r="F66" s="61">
        <f>ROUNDUP(Chart_Data[[#This Row],[Case Number]]/$F$37,0)</f>
        <v>5</v>
      </c>
      <c r="G66" s="61">
        <f>COUNTIFS(Risk_Category[Likelihood],Chart_Data[[#This Row],[Likelihood No.]],Risk_Category[Consequence],Chart_Data[[#This Row],[Consequence No.]])</f>
        <v>0</v>
      </c>
      <c r="H66" t="str" cm="1">
        <f t="array" ref="H66">_xlfn.TEXTJOIN(", ",,IF(Risk_Category[Likelihood]=Chart_Data[[#This Row],[Likelihood No.]],IF(Risk_Category[Consequence]=Chart_Data[[#This Row],[Consequence No.]],Risk_Category[Risk Category],""),""))</f>
        <v/>
      </c>
    </row>
    <row r="69" spans="3:16" ht="16.5" x14ac:dyDescent="0.25">
      <c r="C69" s="3" t="s">
        <v>118</v>
      </c>
    </row>
    <row r="72" spans="3:16" ht="74.25" customHeight="1" x14ac:dyDescent="0.2">
      <c r="K72" s="59" t="str" cm="1">
        <f t="array" ref="K72:K76">INDEX(LU_Likelihood,_xlfn.SEQUENCE(COUNTA(LU_Likelihood),,COUNTA(LU_Likelihood),-1))</f>
        <v>Almost Certain</v>
      </c>
      <c r="L72" s="56" t="str">
        <f>INDEX(LU_Matrix[[Minimal]:[Catastrophic]],MATCH($K72,LU_Likelihood,0),MATCH(L$77,LU_Consequences,0))</f>
        <v>Medium</v>
      </c>
      <c r="M72" s="56" t="str">
        <f>INDEX(LU_Matrix[[Minimal]:[Catastrophic]],MATCH($K72,LU_Likelihood,0),MATCH(M$77,LU_Consequences,0))</f>
        <v>High</v>
      </c>
      <c r="N72" s="56" t="str">
        <f>INDEX(LU_Matrix[[Minimal]:[Catastrophic]],MATCH($K72,LU_Likelihood,0),MATCH(N$77,LU_Consequences,0))</f>
        <v>High</v>
      </c>
      <c r="O72" s="56" t="str">
        <f>INDEX(LU_Matrix[[Minimal]:[Catastrophic]],MATCH($K72,LU_Likelihood,0),MATCH(O$77,LU_Consequences,0))</f>
        <v>Extreme</v>
      </c>
      <c r="P72" s="56" t="str">
        <f>INDEX(LU_Matrix[[Minimal]:[Catastrophic]],MATCH($K72,LU_Likelihood,0),MATCH(P$77,LU_Consequences,0))</f>
        <v>Extreme</v>
      </c>
    </row>
    <row r="73" spans="3:16" ht="74.25" customHeight="1" x14ac:dyDescent="0.2">
      <c r="K73" s="59" t="str">
        <v>Likely</v>
      </c>
      <c r="L73" s="56" t="str">
        <f>INDEX(LU_Matrix[[Minimal]:[Catastrophic]],MATCH($K73,LU_Likelihood,0),MATCH(L$77,LU_Consequences,0))</f>
        <v>Medium</v>
      </c>
      <c r="M73" s="56" t="str">
        <f>INDEX(LU_Matrix[[Minimal]:[Catastrophic]],MATCH($K73,LU_Likelihood,0),MATCH(M$77,LU_Consequences,0))</f>
        <v>Medium</v>
      </c>
      <c r="N73" s="56" t="str">
        <f>INDEX(LU_Matrix[[Minimal]:[Catastrophic]],MATCH($K73,LU_Likelihood,0),MATCH(N$77,LU_Consequences,0))</f>
        <v>High</v>
      </c>
      <c r="O73" s="56" t="str">
        <f>INDEX(LU_Matrix[[Minimal]:[Catastrophic]],MATCH($K73,LU_Likelihood,0),MATCH(O$77,LU_Consequences,0))</f>
        <v>High</v>
      </c>
      <c r="P73" s="56" t="str">
        <f>INDEX(LU_Matrix[[Minimal]:[Catastrophic]],MATCH($K73,LU_Likelihood,0),MATCH(P$77,LU_Consequences,0))</f>
        <v>Extreme</v>
      </c>
    </row>
    <row r="74" spans="3:16" ht="74.25" customHeight="1" x14ac:dyDescent="0.2">
      <c r="K74" s="59" t="str">
        <v>Possible</v>
      </c>
      <c r="L74" s="56" t="str">
        <f>INDEX(LU_Matrix[[Minimal]:[Catastrophic]],MATCH($K74,LU_Likelihood,0),MATCH(L$77,LU_Consequences,0))</f>
        <v>Low</v>
      </c>
      <c r="M74" s="56" t="str">
        <f>INDEX(LU_Matrix[[Minimal]:[Catastrophic]],MATCH($K74,LU_Likelihood,0),MATCH(M$77,LU_Consequences,0))</f>
        <v>Low</v>
      </c>
      <c r="N74" s="56" t="str">
        <f>INDEX(LU_Matrix[[Minimal]:[Catastrophic]],MATCH($K74,LU_Likelihood,0),MATCH(N$77,LU_Consequences,0))</f>
        <v>Medium</v>
      </c>
      <c r="O74" s="56" t="str">
        <f>INDEX(LU_Matrix[[Minimal]:[Catastrophic]],MATCH($K74,LU_Likelihood,0),MATCH(O$77,LU_Consequences,0))</f>
        <v>High</v>
      </c>
      <c r="P74" s="56" t="str">
        <f>INDEX(LU_Matrix[[Minimal]:[Catastrophic]],MATCH($K74,LU_Likelihood,0),MATCH(P$77,LU_Consequences,0))</f>
        <v>High</v>
      </c>
    </row>
    <row r="75" spans="3:16" ht="74.25" customHeight="1" x14ac:dyDescent="0.2">
      <c r="K75" s="59" t="str">
        <v>Unlikely</v>
      </c>
      <c r="L75" s="56" t="str">
        <f>INDEX(LU_Matrix[[Minimal]:[Catastrophic]],MATCH($K75,LU_Likelihood,0),MATCH(L$77,LU_Consequences,0))</f>
        <v>Low</v>
      </c>
      <c r="M75" s="56" t="str">
        <f>INDEX(LU_Matrix[[Minimal]:[Catastrophic]],MATCH($K75,LU_Likelihood,0),MATCH(M$77,LU_Consequences,0))</f>
        <v>Low</v>
      </c>
      <c r="N75" s="56" t="str">
        <f>INDEX(LU_Matrix[[Minimal]:[Catastrophic]],MATCH($K75,LU_Likelihood,0),MATCH(N$77,LU_Consequences,0))</f>
        <v>Medium</v>
      </c>
      <c r="O75" s="56" t="str">
        <f>INDEX(LU_Matrix[[Minimal]:[Catastrophic]],MATCH($K75,LU_Likelihood,0),MATCH(O$77,LU_Consequences,0))</f>
        <v>Medium</v>
      </c>
      <c r="P75" s="56" t="str">
        <f>INDEX(LU_Matrix[[Minimal]:[Catastrophic]],MATCH($K75,LU_Likelihood,0),MATCH(P$77,LU_Consequences,0))</f>
        <v>High</v>
      </c>
    </row>
    <row r="76" spans="3:16" ht="74.25" customHeight="1" x14ac:dyDescent="0.2">
      <c r="K76" s="59" t="str">
        <v>Rare</v>
      </c>
      <c r="L76" s="56" t="str">
        <f>INDEX(LU_Matrix[[Minimal]:[Catastrophic]],MATCH($K76,LU_Likelihood,0),MATCH(L$77,LU_Consequences,0))</f>
        <v>Low</v>
      </c>
      <c r="M76" s="56" t="str">
        <f>INDEX(LU_Matrix[[Minimal]:[Catastrophic]],MATCH($K76,LU_Likelihood,0),MATCH(M$77,LU_Consequences,0))</f>
        <v>Low</v>
      </c>
      <c r="N76" s="56" t="str">
        <f>INDEX(LU_Matrix[[Minimal]:[Catastrophic]],MATCH($K76,LU_Likelihood,0),MATCH(N$77,LU_Consequences,0))</f>
        <v>Low</v>
      </c>
      <c r="O76" s="56" t="str">
        <f>INDEX(LU_Matrix[[Minimal]:[Catastrophic]],MATCH($K76,LU_Likelihood,0),MATCH(O$77,LU_Consequences,0))</f>
        <v>Medium</v>
      </c>
      <c r="P76" s="56" t="str">
        <f>INDEX(LU_Matrix[[Minimal]:[Catastrophic]],MATCH($K76,LU_Likelihood,0),MATCH(P$77,LU_Consequences,0))</f>
        <v>Medium</v>
      </c>
    </row>
    <row r="77" spans="3:16" ht="15.75" customHeight="1" x14ac:dyDescent="0.2">
      <c r="K77" s="56"/>
      <c r="L77" s="60" t="str" cm="1">
        <f t="array" ref="L77:P77">LU_Consequences</f>
        <v>Minimal</v>
      </c>
      <c r="M77" s="60" t="str">
        <v>Minor</v>
      </c>
      <c r="N77" s="60" t="str">
        <v>Moderate</v>
      </c>
      <c r="O77" s="60" t="str">
        <v>Major</v>
      </c>
      <c r="P77" s="60" t="str">
        <v>Catastrophic</v>
      </c>
    </row>
  </sheetData>
  <mergeCells count="1">
    <mergeCell ref="A3:E3"/>
  </mergeCells>
  <conditionalFormatting sqref="F4">
    <cfRule type="cellIs" dxfId="15" priority="57" operator="notEqual">
      <formula>0</formula>
    </cfRule>
  </conditionalFormatting>
  <conditionalFormatting sqref="L72:P76">
    <cfRule type="cellIs" dxfId="14" priority="25" operator="equal">
      <formula>"High"</formula>
    </cfRule>
    <cfRule type="cellIs" dxfId="13" priority="26" operator="equal">
      <formula>"Extreme"</formula>
    </cfRule>
    <cfRule type="cellIs" dxfId="12" priority="27" operator="equal">
      <formula>"Medium"</formula>
    </cfRule>
    <cfRule type="cellIs" dxfId="11" priority="28" operator="equal">
      <formula>"Low"</formula>
    </cfRule>
  </conditionalFormatting>
  <hyperlinks>
    <hyperlink ref="F4" location="Overall_Error_Check" tooltip="Go to Overall Error Check" display="Overall_Error_Check" xr:uid="{51B143B2-A8F6-4EFB-B800-6CA1E65E986C}"/>
    <hyperlink ref="A3:E3" location="HL_Navigator" tooltip="Go to Navigator (Table of Contents)" display="Navigator" xr:uid="{7D058320-1AB3-44A6-B3DF-F28BEF765E40}"/>
    <hyperlink ref="A3" location="HL_Navigator" display="Navigator" xr:uid="{B6048BB8-C03D-44F7-8ECA-171508C6A5FA}"/>
  </hyperlinks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43" t="str">
        <f ca="1">IF(ISERROR(RIGHT(CELL("filename",A1),LEN(CELL("filename",A1))-FIND("]",CELL("filename",A1)))),
"",
RIGHT(CELL("filename",A1),LEN(CELL("filename",A1))-FIND("]",CELL("filename",A1))))</f>
        <v>Error Checks</v>
      </c>
    </row>
    <row r="2" spans="1:11" ht="18" x14ac:dyDescent="0.25">
      <c r="A2" s="44" t="str">
        <f ca="1">Model_Name</f>
        <v>SP Risk Bubble Chart.xlsx</v>
      </c>
    </row>
    <row r="3" spans="1:11" x14ac:dyDescent="0.2">
      <c r="A3" s="66" t="s">
        <v>1</v>
      </c>
      <c r="B3" s="66"/>
      <c r="C3" s="66"/>
      <c r="D3" s="66"/>
      <c r="E3" s="66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5">
        <f>MAX($B$5:$B5)+1</f>
        <v>1</v>
      </c>
      <c r="C6" s="2" t="s">
        <v>64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65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66</v>
      </c>
    </row>
    <row r="11" spans="1:11" outlineLevel="1" x14ac:dyDescent="0.2"/>
    <row r="12" spans="1:11" ht="14.25" outlineLevel="1" x14ac:dyDescent="0.2">
      <c r="E12" t="s">
        <v>67</v>
      </c>
      <c r="I12" s="37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1"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FE75ECA439A049B41314814B7E4B57" ma:contentTypeVersion="15" ma:contentTypeDescription="Create a new document." ma:contentTypeScope="" ma:versionID="7b4f5faf1ebb35376dbc1ddc3c87617c">
  <xsd:schema xmlns:xsd="http://www.w3.org/2001/XMLSchema" xmlns:xs="http://www.w3.org/2001/XMLSchema" xmlns:p="http://schemas.microsoft.com/office/2006/metadata/properties" xmlns:ns2="ff58d06b-05e3-4c65-85ba-22cd93c7683f" xmlns:ns3="ac914b5e-6dd4-4de9-b905-57df3d54023d" targetNamespace="http://schemas.microsoft.com/office/2006/metadata/properties" ma:root="true" ma:fieldsID="b745671cbd1ecfe0936fee19b8c93030" ns2:_="" ns3:_="">
    <xsd:import namespace="ff58d06b-05e3-4c65-85ba-22cd93c7683f"/>
    <xsd:import namespace="ac914b5e-6dd4-4de9-b905-57df3d5402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58d06b-05e3-4c65-85ba-22cd93c768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a3f6a92-6300-485e-b0cc-b70aa89c14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14b5e-6dd4-4de9-b905-57df3d54023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0b4198c-4b14-49cc-8beb-9042bcb4eee8}" ma:internalName="TaxCatchAll" ma:showField="CatchAllData" ma:web="ac914b5e-6dd4-4de9-b905-57df3d5402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f58d06b-05e3-4c65-85ba-22cd93c7683f">
      <Terms xmlns="http://schemas.microsoft.com/office/infopath/2007/PartnerControls"/>
    </lcf76f155ced4ddcb4097134ff3c332f>
    <TaxCatchAll xmlns="ac914b5e-6dd4-4de9-b905-57df3d54023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4DD30C-B1C6-475D-B7DF-328262AB9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f58d06b-05e3-4c65-85ba-22cd93c7683f"/>
    <ds:schemaRef ds:uri="ac914b5e-6dd4-4de9-b905-57df3d5402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619791-D556-4F22-833E-9B506B249334}">
  <ds:schemaRefs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ff58d06b-05e3-4c65-85ba-22cd93c7683f"/>
    <ds:schemaRef ds:uri="http://www.w3.org/XML/1998/namespace"/>
    <ds:schemaRef ds:uri="ac914b5e-6dd4-4de9-b905-57df3d54023d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F4E4C38-BF52-4BF4-B7C4-8E4875C370B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33</vt:i4>
      </vt:variant>
    </vt:vector>
  </HeadingPairs>
  <TitlesOfParts>
    <vt:vector size="40" baseType="lpstr">
      <vt:lpstr>Cover</vt:lpstr>
      <vt:lpstr>Navigator</vt:lpstr>
      <vt:lpstr>Style Guide</vt:lpstr>
      <vt:lpstr>Model Parameters</vt:lpstr>
      <vt:lpstr>Timing</vt:lpstr>
      <vt:lpstr>Risk Bubble Chart</vt:lpstr>
      <vt:lpstr>Error Checks</vt:lpstr>
      <vt:lpstr>Client_Name</vt:lpstr>
      <vt:lpstr>Consequence_No</vt:lpstr>
      <vt:lpstr>Days_in_Year</vt:lpstr>
      <vt:lpstr>Example_Reporting_Month</vt:lpstr>
      <vt:lpstr>HL_1</vt:lpstr>
      <vt:lpstr>HL_3</vt:lpstr>
      <vt:lpstr>HL_4</vt:lpstr>
      <vt:lpstr>HL_5</vt:lpstr>
      <vt:lpstr>HL_6</vt:lpstr>
      <vt:lpstr>'Risk Bubble Chart'!HL_7</vt:lpstr>
      <vt:lpstr>HL_7</vt:lpstr>
      <vt:lpstr>HL_Model_Parameters</vt:lpstr>
      <vt:lpstr>HL_Navigator</vt:lpstr>
      <vt:lpstr>Likelihood_No</vt:lpstr>
      <vt:lpstr>LU_Consequences</vt:lpstr>
      <vt:lpstr>LU_Likelihood</vt:lpstr>
      <vt:lpstr>Model_Name</vt:lpstr>
      <vt:lpstr>Model_Start_Date</vt:lpstr>
      <vt:lpstr>Months_in_Half_Yr</vt:lpstr>
      <vt:lpstr>Months_in_Month</vt:lpstr>
      <vt:lpstr>Months_in_Qtr</vt:lpstr>
      <vt:lpstr>Months_in_Year</vt:lpstr>
      <vt:lpstr>Occurences</vt:lpstr>
      <vt:lpstr>Overall_Error_Check</vt:lpstr>
      <vt:lpstr>Periodicity</vt:lpstr>
      <vt:lpstr>Quarters_in_Year</vt:lpstr>
      <vt:lpstr>Reporting_Month_Factor</vt:lpstr>
      <vt:lpstr>Risk_ID</vt:lpstr>
      <vt:lpstr>Risk_Tbl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2022-11-23T21:28:26Z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0x01010015FE75ECA439A049B41314814B7E4B57</vt:lpwstr>
  </property>
  <property fmtid="{D5CDD505-2E9C-101B-9397-08002B2CF9AE}" pid="3" name="MediaServiceImageTags">
    <vt:lpwstr/>
  </property>
</Properties>
</file>